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105" windowWidth="9375" windowHeight="4485" firstSheet="6" activeTab="6"/>
  </bookViews>
  <sheets>
    <sheet name="000000000" sheetId="4" state="veryHidden" r:id="rId1"/>
    <sheet name="29 DAN 18 TOK" sheetId="86" r:id="rId2"/>
    <sheet name="2019 DAN 18" sheetId="84" r:id="rId3"/>
    <sheet name="penetapan 2019" sheetId="71" r:id="rId4"/>
    <sheet name="REALISASI REKO" sheetId="79" r:id="rId5"/>
    <sheet name="rekap REALISASI REKO " sheetId="83" r:id="rId6"/>
    <sheet name="rekapan 2019 tok" sheetId="85" r:id="rId7"/>
  </sheets>
  <definedNames>
    <definedName name="B.Aparatur" localSheetId="1">#REF!</definedName>
    <definedName name="B.Aparatur" localSheetId="3">#REF!</definedName>
    <definedName name="B.Aparatur" localSheetId="5">#REF!</definedName>
    <definedName name="B.Aparatur" localSheetId="6">#REF!</definedName>
    <definedName name="B.Aparatur">#REF!</definedName>
    <definedName name="B.Publik" localSheetId="1">#REF!</definedName>
    <definedName name="B.Publik" localSheetId="3">#REF!</definedName>
    <definedName name="B.Publik" localSheetId="5">#REF!</definedName>
    <definedName name="B.Publik" localSheetId="6">#REF!</definedName>
    <definedName name="B.Publik">#REF!</definedName>
    <definedName name="BAHAN" localSheetId="1">#REF!</definedName>
    <definedName name="BAHAN" localSheetId="3">#REF!</definedName>
    <definedName name="BAHAN" localSheetId="5">#REF!</definedName>
    <definedName name="BAHAN" localSheetId="6">#REF!</definedName>
    <definedName name="BAHAN">#REF!</definedName>
    <definedName name="bedo" localSheetId="1">#REF!</definedName>
    <definedName name="bedo" localSheetId="3">#REF!</definedName>
    <definedName name="bedo" localSheetId="5">#REF!</definedName>
    <definedName name="bedo" localSheetId="6">#REF!</definedName>
    <definedName name="bedo">#REF!</definedName>
    <definedName name="KETEPPA" localSheetId="1">#REF!</definedName>
    <definedName name="KETEPPA" localSheetId="5">#REF!</definedName>
    <definedName name="KETEPPA" localSheetId="6">#REF!</definedName>
    <definedName name="KETEPPA">#REF!</definedName>
    <definedName name="nnnn" localSheetId="1">#REF!</definedName>
    <definedName name="nnnn" localSheetId="5">#REF!</definedName>
    <definedName name="nnnn" localSheetId="6">#REF!</definedName>
    <definedName name="nnnn">#REF!</definedName>
    <definedName name="_xlnm.Print_Titles" localSheetId="2">'2019 DAN 18'!$5:$7</definedName>
    <definedName name="_xlnm.Print_Titles" localSheetId="1">'29 DAN 18 TOK'!$5:$7</definedName>
    <definedName name="_xlnm.Print_Titles" localSheetId="4">'REALISASI REKO'!$A$32:$IV$33</definedName>
    <definedName name="_xlnm.Print_Titles" localSheetId="5">'rekap REALISASI REKO '!$A$32:$IV$33</definedName>
    <definedName name="_xlnm.Print_Titles" localSheetId="6">'rekapan 2019 tok'!$5:$6</definedName>
    <definedName name="re" localSheetId="1">#REF!</definedName>
    <definedName name="re" localSheetId="5">#REF!</definedName>
    <definedName name="re" localSheetId="6">#REF!</definedName>
    <definedName name="re">#REF!</definedName>
    <definedName name="rekapan" localSheetId="1">#REF!</definedName>
    <definedName name="rekapan" localSheetId="3">#REF!</definedName>
    <definedName name="rekapan" localSheetId="5">#REF!</definedName>
    <definedName name="rekapan" localSheetId="6">#REF!</definedName>
    <definedName name="rekapan">#REF!</definedName>
    <definedName name="rrrr" localSheetId="1">#REF!</definedName>
    <definedName name="rrrr" localSheetId="5">#REF!</definedName>
    <definedName name="rrrr" localSheetId="6">#REF!</definedName>
    <definedName name="rrrr">#REF!</definedName>
    <definedName name="TEPPA" localSheetId="1">#REF!</definedName>
    <definedName name="TEPPA" localSheetId="3">#REF!</definedName>
    <definedName name="TEPPA" localSheetId="5">#REF!</definedName>
    <definedName name="TEPPA" localSheetId="6">#REF!</definedName>
    <definedName name="TEPPA">#REF!</definedName>
  </definedNames>
  <calcPr calcId="124519"/>
</workbook>
</file>

<file path=xl/calcChain.xml><?xml version="1.0" encoding="utf-8"?>
<calcChain xmlns="http://schemas.openxmlformats.org/spreadsheetml/2006/main">
  <c r="G672" i="86"/>
  <c r="H672" s="1"/>
  <c r="F672"/>
  <c r="I672" s="1"/>
  <c r="J672" s="1"/>
  <c r="H671"/>
  <c r="G671"/>
  <c r="F671"/>
  <c r="I671" s="1"/>
  <c r="J671" s="1"/>
  <c r="I670"/>
  <c r="J670" s="1"/>
  <c r="H670"/>
  <c r="G670"/>
  <c r="F670"/>
  <c r="F669"/>
  <c r="G668"/>
  <c r="H668" s="1"/>
  <c r="F668"/>
  <c r="I668" s="1"/>
  <c r="J668" s="1"/>
  <c r="H667"/>
  <c r="G667"/>
  <c r="F667"/>
  <c r="I667" s="1"/>
  <c r="J667" s="1"/>
  <c r="F666"/>
  <c r="G666" s="1"/>
  <c r="F665"/>
  <c r="G664"/>
  <c r="H664" s="1"/>
  <c r="F664"/>
  <c r="I664" s="1"/>
  <c r="J664" s="1"/>
  <c r="H663"/>
  <c r="G663"/>
  <c r="F663"/>
  <c r="I663" s="1"/>
  <c r="J663" s="1"/>
  <c r="I662"/>
  <c r="J662" s="1"/>
  <c r="H662"/>
  <c r="G662"/>
  <c r="F662"/>
  <c r="F661"/>
  <c r="G660"/>
  <c r="H660" s="1"/>
  <c r="F660"/>
  <c r="I660" s="1"/>
  <c r="J660" s="1"/>
  <c r="G658"/>
  <c r="G643" s="1"/>
  <c r="E658"/>
  <c r="I658" s="1"/>
  <c r="D658"/>
  <c r="G657"/>
  <c r="H657" s="1"/>
  <c r="F657"/>
  <c r="I657" s="1"/>
  <c r="J657" s="1"/>
  <c r="H656"/>
  <c r="G656"/>
  <c r="I656" s="1"/>
  <c r="J656" s="1"/>
  <c r="F656"/>
  <c r="F655"/>
  <c r="G655" s="1"/>
  <c r="F654"/>
  <c r="G653"/>
  <c r="H653" s="1"/>
  <c r="F653"/>
  <c r="I653" s="1"/>
  <c r="J653" s="1"/>
  <c r="H652"/>
  <c r="G652"/>
  <c r="I652" s="1"/>
  <c r="J652" s="1"/>
  <c r="F652"/>
  <c r="F651"/>
  <c r="G651" s="1"/>
  <c r="F650"/>
  <c r="G649"/>
  <c r="H649" s="1"/>
  <c r="F649"/>
  <c r="I649" s="1"/>
  <c r="J649" s="1"/>
  <c r="H648"/>
  <c r="G648"/>
  <c r="I648" s="1"/>
  <c r="J648" s="1"/>
  <c r="F648"/>
  <c r="F647"/>
  <c r="G647" s="1"/>
  <c r="F646"/>
  <c r="I644"/>
  <c r="D644"/>
  <c r="F644" s="1"/>
  <c r="F642"/>
  <c r="G642" s="1"/>
  <c r="F641"/>
  <c r="G640"/>
  <c r="H640" s="1"/>
  <c r="F640"/>
  <c r="I640" s="1"/>
  <c r="J640" s="1"/>
  <c r="H639"/>
  <c r="G639"/>
  <c r="I639" s="1"/>
  <c r="J639" s="1"/>
  <c r="F639"/>
  <c r="F638"/>
  <c r="G638" s="1"/>
  <c r="F637"/>
  <c r="G636"/>
  <c r="H636" s="1"/>
  <c r="F636"/>
  <c r="I636" s="1"/>
  <c r="J636" s="1"/>
  <c r="H635"/>
  <c r="G635"/>
  <c r="I635" s="1"/>
  <c r="J635" s="1"/>
  <c r="F635"/>
  <c r="F634"/>
  <c r="G634" s="1"/>
  <c r="F633"/>
  <c r="G632"/>
  <c r="H632" s="1"/>
  <c r="F632"/>
  <c r="I632" s="1"/>
  <c r="J632" s="1"/>
  <c r="H631"/>
  <c r="G631"/>
  <c r="I631" s="1"/>
  <c r="J631" s="1"/>
  <c r="F631"/>
  <c r="F630"/>
  <c r="G630" s="1"/>
  <c r="F629"/>
  <c r="G628"/>
  <c r="H628" s="1"/>
  <c r="F628"/>
  <c r="I628" s="1"/>
  <c r="J628" s="1"/>
  <c r="H627"/>
  <c r="G627"/>
  <c r="I627" s="1"/>
  <c r="J627" s="1"/>
  <c r="F627"/>
  <c r="F626"/>
  <c r="G626" s="1"/>
  <c r="F625"/>
  <c r="G624"/>
  <c r="H624" s="1"/>
  <c r="F624"/>
  <c r="I624" s="1"/>
  <c r="J624" s="1"/>
  <c r="H623"/>
  <c r="G623"/>
  <c r="I623" s="1"/>
  <c r="J623" s="1"/>
  <c r="F623"/>
  <c r="F622"/>
  <c r="G622" s="1"/>
  <c r="F621"/>
  <c r="G620"/>
  <c r="H620" s="1"/>
  <c r="F620"/>
  <c r="I620" s="1"/>
  <c r="J620" s="1"/>
  <c r="E618"/>
  <c r="F618" s="1"/>
  <c r="D618"/>
  <c r="F617"/>
  <c r="G616"/>
  <c r="H616" s="1"/>
  <c r="F616"/>
  <c r="I616" s="1"/>
  <c r="J616" s="1"/>
  <c r="H615"/>
  <c r="G615"/>
  <c r="I615" s="1"/>
  <c r="J615" s="1"/>
  <c r="F615"/>
  <c r="F614"/>
  <c r="G614" s="1"/>
  <c r="F613"/>
  <c r="G612"/>
  <c r="H612" s="1"/>
  <c r="F612"/>
  <c r="I612" s="1"/>
  <c r="J612" s="1"/>
  <c r="H611"/>
  <c r="G611"/>
  <c r="I611" s="1"/>
  <c r="J611" s="1"/>
  <c r="F611"/>
  <c r="F610"/>
  <c r="G610" s="1"/>
  <c r="F609"/>
  <c r="G608"/>
  <c r="H608" s="1"/>
  <c r="F608"/>
  <c r="I608" s="1"/>
  <c r="J608" s="1"/>
  <c r="H607"/>
  <c r="G607"/>
  <c r="I607" s="1"/>
  <c r="J607" s="1"/>
  <c r="F607"/>
  <c r="E605"/>
  <c r="E604" s="1"/>
  <c r="D605"/>
  <c r="D604" s="1"/>
  <c r="G604"/>
  <c r="F603"/>
  <c r="G602"/>
  <c r="H602" s="1"/>
  <c r="F602"/>
  <c r="I602" s="1"/>
  <c r="J602" s="1"/>
  <c r="H601"/>
  <c r="G601"/>
  <c r="I601" s="1"/>
  <c r="J601" s="1"/>
  <c r="F601"/>
  <c r="F600"/>
  <c r="G600" s="1"/>
  <c r="F599"/>
  <c r="G598"/>
  <c r="H598" s="1"/>
  <c r="F598"/>
  <c r="I598" s="1"/>
  <c r="J598" s="1"/>
  <c r="H597"/>
  <c r="G597"/>
  <c r="I597" s="1"/>
  <c r="J597" s="1"/>
  <c r="F597"/>
  <c r="F596"/>
  <c r="G596" s="1"/>
  <c r="F595"/>
  <c r="G594"/>
  <c r="H594" s="1"/>
  <c r="F594"/>
  <c r="I594" s="1"/>
  <c r="J594" s="1"/>
  <c r="H593"/>
  <c r="G593"/>
  <c r="I593" s="1"/>
  <c r="J593" s="1"/>
  <c r="F593"/>
  <c r="F592"/>
  <c r="G592" s="1"/>
  <c r="F591"/>
  <c r="G590"/>
  <c r="H590" s="1"/>
  <c r="F590"/>
  <c r="I590" s="1"/>
  <c r="J590" s="1"/>
  <c r="H589"/>
  <c r="G589"/>
  <c r="I589" s="1"/>
  <c r="J589" s="1"/>
  <c r="F589"/>
  <c r="F588"/>
  <c r="G588" s="1"/>
  <c r="F587"/>
  <c r="G586"/>
  <c r="H586" s="1"/>
  <c r="F586"/>
  <c r="I586" s="1"/>
  <c r="J586" s="1"/>
  <c r="H585"/>
  <c r="G585"/>
  <c r="I585" s="1"/>
  <c r="J585" s="1"/>
  <c r="F585"/>
  <c r="F584"/>
  <c r="G584" s="1"/>
  <c r="F583"/>
  <c r="G582"/>
  <c r="H582" s="1"/>
  <c r="F582"/>
  <c r="I582" s="1"/>
  <c r="J582" s="1"/>
  <c r="H581"/>
  <c r="G581"/>
  <c r="I581" s="1"/>
  <c r="J581" s="1"/>
  <c r="F581"/>
  <c r="F580"/>
  <c r="G580" s="1"/>
  <c r="F579"/>
  <c r="G578"/>
  <c r="H578" s="1"/>
  <c r="F578"/>
  <c r="I578" s="1"/>
  <c r="J578" s="1"/>
  <c r="H577"/>
  <c r="G577"/>
  <c r="I577" s="1"/>
  <c r="J577" s="1"/>
  <c r="F577"/>
  <c r="F576"/>
  <c r="G576" s="1"/>
  <c r="F575"/>
  <c r="J573"/>
  <c r="I573"/>
  <c r="H573"/>
  <c r="F573"/>
  <c r="D573"/>
  <c r="D514" s="1"/>
  <c r="H572"/>
  <c r="G572"/>
  <c r="I572" s="1"/>
  <c r="J572" s="1"/>
  <c r="F572"/>
  <c r="F571"/>
  <c r="G571" s="1"/>
  <c r="F570"/>
  <c r="G569"/>
  <c r="H569" s="1"/>
  <c r="F569"/>
  <c r="I569" s="1"/>
  <c r="J569" s="1"/>
  <c r="H568"/>
  <c r="G568"/>
  <c r="I568" s="1"/>
  <c r="J568" s="1"/>
  <c r="F568"/>
  <c r="F567"/>
  <c r="G567" s="1"/>
  <c r="F566"/>
  <c r="G565"/>
  <c r="H565" s="1"/>
  <c r="F565"/>
  <c r="I565" s="1"/>
  <c r="J565" s="1"/>
  <c r="H564"/>
  <c r="G564"/>
  <c r="I564" s="1"/>
  <c r="J564" s="1"/>
  <c r="F564"/>
  <c r="F563"/>
  <c r="G563" s="1"/>
  <c r="F562"/>
  <c r="G561"/>
  <c r="H561" s="1"/>
  <c r="F561"/>
  <c r="I561" s="1"/>
  <c r="J561" s="1"/>
  <c r="H560"/>
  <c r="G560"/>
  <c r="I560" s="1"/>
  <c r="J560" s="1"/>
  <c r="F560"/>
  <c r="F559"/>
  <c r="G559" s="1"/>
  <c r="H559" s="1"/>
  <c r="F558"/>
  <c r="G557"/>
  <c r="H557" s="1"/>
  <c r="F557"/>
  <c r="I557" s="1"/>
  <c r="J557" s="1"/>
  <c r="H556"/>
  <c r="G556"/>
  <c r="I556" s="1"/>
  <c r="J556" s="1"/>
  <c r="F556"/>
  <c r="I555"/>
  <c r="J555" s="1"/>
  <c r="F555"/>
  <c r="G555" s="1"/>
  <c r="H555" s="1"/>
  <c r="F554"/>
  <c r="G553"/>
  <c r="H553" s="1"/>
  <c r="F553"/>
  <c r="H552"/>
  <c r="G552"/>
  <c r="I552" s="1"/>
  <c r="J552" s="1"/>
  <c r="F552"/>
  <c r="I551"/>
  <c r="J551" s="1"/>
  <c r="F551"/>
  <c r="G551" s="1"/>
  <c r="H551" s="1"/>
  <c r="F550"/>
  <c r="G549"/>
  <c r="H549" s="1"/>
  <c r="F549"/>
  <c r="H548"/>
  <c r="G548"/>
  <c r="I548" s="1"/>
  <c r="J548" s="1"/>
  <c r="F548"/>
  <c r="F547"/>
  <c r="G547" s="1"/>
  <c r="H547" s="1"/>
  <c r="G545"/>
  <c r="H545" s="1"/>
  <c r="F545"/>
  <c r="E545"/>
  <c r="D545"/>
  <c r="I544"/>
  <c r="J544" s="1"/>
  <c r="F544"/>
  <c r="G544" s="1"/>
  <c r="H544" s="1"/>
  <c r="F543"/>
  <c r="G542"/>
  <c r="H542" s="1"/>
  <c r="F542"/>
  <c r="H541"/>
  <c r="G541"/>
  <c r="I541" s="1"/>
  <c r="J541" s="1"/>
  <c r="F541"/>
  <c r="F540"/>
  <c r="G540" s="1"/>
  <c r="H540" s="1"/>
  <c r="F539"/>
  <c r="G538"/>
  <c r="H538" s="1"/>
  <c r="F538"/>
  <c r="I538" s="1"/>
  <c r="J538" s="1"/>
  <c r="H537"/>
  <c r="G537"/>
  <c r="I537" s="1"/>
  <c r="J537" s="1"/>
  <c r="F537"/>
  <c r="F536"/>
  <c r="G536" s="1"/>
  <c r="H536" s="1"/>
  <c r="F535"/>
  <c r="G534"/>
  <c r="H534" s="1"/>
  <c r="F534"/>
  <c r="I534" s="1"/>
  <c r="J534" s="1"/>
  <c r="H533"/>
  <c r="G533"/>
  <c r="I533" s="1"/>
  <c r="J533" s="1"/>
  <c r="F533"/>
  <c r="I532"/>
  <c r="J532" s="1"/>
  <c r="F532"/>
  <c r="G532" s="1"/>
  <c r="H532" s="1"/>
  <c r="F531"/>
  <c r="G530"/>
  <c r="H530" s="1"/>
  <c r="F530"/>
  <c r="H529"/>
  <c r="G529"/>
  <c r="I529" s="1"/>
  <c r="J529" s="1"/>
  <c r="F529"/>
  <c r="I528"/>
  <c r="J528" s="1"/>
  <c r="F528"/>
  <c r="G528" s="1"/>
  <c r="H528" s="1"/>
  <c r="F527"/>
  <c r="G526"/>
  <c r="H526" s="1"/>
  <c r="F526"/>
  <c r="H525"/>
  <c r="G525"/>
  <c r="I525" s="1"/>
  <c r="J525" s="1"/>
  <c r="F525"/>
  <c r="F524"/>
  <c r="G524" s="1"/>
  <c r="H524" s="1"/>
  <c r="F523"/>
  <c r="G522"/>
  <c r="H522" s="1"/>
  <c r="F522"/>
  <c r="I522" s="1"/>
  <c r="J522" s="1"/>
  <c r="H521"/>
  <c r="G521"/>
  <c r="I521" s="1"/>
  <c r="J521" s="1"/>
  <c r="F521"/>
  <c r="F520"/>
  <c r="G520" s="1"/>
  <c r="H520" s="1"/>
  <c r="F519"/>
  <c r="G518"/>
  <c r="H518" s="1"/>
  <c r="F518"/>
  <c r="I518" s="1"/>
  <c r="J518" s="1"/>
  <c r="H517"/>
  <c r="G517"/>
  <c r="I517" s="1"/>
  <c r="J517" s="1"/>
  <c r="F517"/>
  <c r="I515"/>
  <c r="H515"/>
  <c r="E515"/>
  <c r="F515" s="1"/>
  <c r="F514"/>
  <c r="E514"/>
  <c r="F513"/>
  <c r="G513" s="1"/>
  <c r="H513" s="1"/>
  <c r="F512"/>
  <c r="G511"/>
  <c r="H511" s="1"/>
  <c r="F511"/>
  <c r="I511" s="1"/>
  <c r="J511" s="1"/>
  <c r="H510"/>
  <c r="G510"/>
  <c r="I510" s="1"/>
  <c r="J510" s="1"/>
  <c r="F510"/>
  <c r="I509"/>
  <c r="J509" s="1"/>
  <c r="F509"/>
  <c r="G509" s="1"/>
  <c r="H509" s="1"/>
  <c r="F508"/>
  <c r="G507"/>
  <c r="H507" s="1"/>
  <c r="F507"/>
  <c r="H506"/>
  <c r="G506"/>
  <c r="I506" s="1"/>
  <c r="J506" s="1"/>
  <c r="F506"/>
  <c r="I505"/>
  <c r="J505" s="1"/>
  <c r="F505"/>
  <c r="G505" s="1"/>
  <c r="H505" s="1"/>
  <c r="F504"/>
  <c r="G503"/>
  <c r="H503" s="1"/>
  <c r="F503"/>
  <c r="G502"/>
  <c r="I502" s="1"/>
  <c r="J502" s="1"/>
  <c r="F502"/>
  <c r="F501"/>
  <c r="G501" s="1"/>
  <c r="H501" s="1"/>
  <c r="F500"/>
  <c r="G500" s="1"/>
  <c r="H500" s="1"/>
  <c r="G499"/>
  <c r="H499" s="1"/>
  <c r="F499"/>
  <c r="G498"/>
  <c r="I498" s="1"/>
  <c r="J498" s="1"/>
  <c r="F498"/>
  <c r="F497"/>
  <c r="G497" s="1"/>
  <c r="H497" s="1"/>
  <c r="F496"/>
  <c r="G496" s="1"/>
  <c r="H496" s="1"/>
  <c r="G495"/>
  <c r="H495" s="1"/>
  <c r="F495"/>
  <c r="G494"/>
  <c r="I494" s="1"/>
  <c r="J494" s="1"/>
  <c r="F494"/>
  <c r="F493"/>
  <c r="G493" s="1"/>
  <c r="H493" s="1"/>
  <c r="G491"/>
  <c r="E491"/>
  <c r="F491" s="1"/>
  <c r="D491"/>
  <c r="E490"/>
  <c r="D490"/>
  <c r="G489"/>
  <c r="I489" s="1"/>
  <c r="J489" s="1"/>
  <c r="F489"/>
  <c r="F488"/>
  <c r="G488" s="1"/>
  <c r="H488" s="1"/>
  <c r="F487"/>
  <c r="G487" s="1"/>
  <c r="H487" s="1"/>
  <c r="G486"/>
  <c r="H486" s="1"/>
  <c r="F486"/>
  <c r="G485"/>
  <c r="I485" s="1"/>
  <c r="J485" s="1"/>
  <c r="F485"/>
  <c r="F484"/>
  <c r="G484" s="1"/>
  <c r="H484" s="1"/>
  <c r="F483"/>
  <c r="G483" s="1"/>
  <c r="H483" s="1"/>
  <c r="G482"/>
  <c r="H482" s="1"/>
  <c r="F482"/>
  <c r="G481"/>
  <c r="I481" s="1"/>
  <c r="J481" s="1"/>
  <c r="F481"/>
  <c r="F480"/>
  <c r="G480" s="1"/>
  <c r="H480" s="1"/>
  <c r="F479"/>
  <c r="G479" s="1"/>
  <c r="H479" s="1"/>
  <c r="G478"/>
  <c r="H478" s="1"/>
  <c r="F478"/>
  <c r="G477"/>
  <c r="I477" s="1"/>
  <c r="J477" s="1"/>
  <c r="F477"/>
  <c r="F476"/>
  <c r="G476" s="1"/>
  <c r="H476" s="1"/>
  <c r="F475"/>
  <c r="G475" s="1"/>
  <c r="H475" s="1"/>
  <c r="G474"/>
  <c r="H474" s="1"/>
  <c r="F474"/>
  <c r="G473"/>
  <c r="H473" s="1"/>
  <c r="F473"/>
  <c r="I473" s="1"/>
  <c r="J473" s="1"/>
  <c r="F472"/>
  <c r="G472" s="1"/>
  <c r="H472" s="1"/>
  <c r="F471"/>
  <c r="G471" s="1"/>
  <c r="H471" s="1"/>
  <c r="G469"/>
  <c r="F469"/>
  <c r="D469"/>
  <c r="E468"/>
  <c r="D468"/>
  <c r="F468" s="1"/>
  <c r="G467"/>
  <c r="H467" s="1"/>
  <c r="F467"/>
  <c r="I466"/>
  <c r="J466" s="1"/>
  <c r="H466"/>
  <c r="G466"/>
  <c r="F466"/>
  <c r="F465"/>
  <c r="G465" s="1"/>
  <c r="H465" s="1"/>
  <c r="F464"/>
  <c r="G464" s="1"/>
  <c r="H464" s="1"/>
  <c r="H463"/>
  <c r="G463"/>
  <c r="F463"/>
  <c r="I463" s="1"/>
  <c r="J463" s="1"/>
  <c r="I462"/>
  <c r="J462" s="1"/>
  <c r="H462"/>
  <c r="G462"/>
  <c r="F462"/>
  <c r="I461"/>
  <c r="J461" s="1"/>
  <c r="F461"/>
  <c r="G461" s="1"/>
  <c r="H461" s="1"/>
  <c r="F460"/>
  <c r="G460" s="1"/>
  <c r="H460" s="1"/>
  <c r="G459"/>
  <c r="H459" s="1"/>
  <c r="F459"/>
  <c r="I459" s="1"/>
  <c r="J459" s="1"/>
  <c r="I458"/>
  <c r="J458" s="1"/>
  <c r="H458"/>
  <c r="G458"/>
  <c r="F458"/>
  <c r="F457"/>
  <c r="G457" s="1"/>
  <c r="H457" s="1"/>
  <c r="G456"/>
  <c r="H456" s="1"/>
  <c r="F456"/>
  <c r="G455"/>
  <c r="H455" s="1"/>
  <c r="F455"/>
  <c r="I455" s="1"/>
  <c r="J455" s="1"/>
  <c r="I454"/>
  <c r="J454" s="1"/>
  <c r="H454"/>
  <c r="G454"/>
  <c r="F454"/>
  <c r="F453"/>
  <c r="G453" s="1"/>
  <c r="H453" s="1"/>
  <c r="F452"/>
  <c r="G452" s="1"/>
  <c r="H452" s="1"/>
  <c r="G451"/>
  <c r="H451" s="1"/>
  <c r="F451"/>
  <c r="I449"/>
  <c r="J449" s="1"/>
  <c r="H449"/>
  <c r="G449"/>
  <c r="E449"/>
  <c r="D449"/>
  <c r="F449" s="1"/>
  <c r="G448"/>
  <c r="H448" s="1"/>
  <c r="F448"/>
  <c r="I447"/>
  <c r="J447" s="1"/>
  <c r="H447"/>
  <c r="G447"/>
  <c r="F447"/>
  <c r="F446"/>
  <c r="G446" s="1"/>
  <c r="H446" s="1"/>
  <c r="F445"/>
  <c r="G445" s="1"/>
  <c r="H445" s="1"/>
  <c r="H444"/>
  <c r="G444"/>
  <c r="F444"/>
  <c r="I444" s="1"/>
  <c r="J444" s="1"/>
  <c r="I443"/>
  <c r="J443" s="1"/>
  <c r="H443"/>
  <c r="G443"/>
  <c r="F443"/>
  <c r="I442"/>
  <c r="J442" s="1"/>
  <c r="F442"/>
  <c r="G442" s="1"/>
  <c r="H442" s="1"/>
  <c r="F441"/>
  <c r="G441" s="1"/>
  <c r="H441" s="1"/>
  <c r="G440"/>
  <c r="H440" s="1"/>
  <c r="F440"/>
  <c r="I440" s="1"/>
  <c r="J440" s="1"/>
  <c r="I439"/>
  <c r="J439" s="1"/>
  <c r="H439"/>
  <c r="G439"/>
  <c r="F439"/>
  <c r="F438"/>
  <c r="G438" s="1"/>
  <c r="H438" s="1"/>
  <c r="G437"/>
  <c r="H437" s="1"/>
  <c r="F437"/>
  <c r="G436"/>
  <c r="H436" s="1"/>
  <c r="F436"/>
  <c r="I436" s="1"/>
  <c r="J436" s="1"/>
  <c r="I435"/>
  <c r="J435" s="1"/>
  <c r="H435"/>
  <c r="G435"/>
  <c r="F435"/>
  <c r="F434"/>
  <c r="G434" s="1"/>
  <c r="H434" s="1"/>
  <c r="F433"/>
  <c r="G433" s="1"/>
  <c r="H433" s="1"/>
  <c r="G431"/>
  <c r="H431" s="1"/>
  <c r="E431"/>
  <c r="D431"/>
  <c r="G430"/>
  <c r="H430" s="1"/>
  <c r="F430"/>
  <c r="G429"/>
  <c r="H429" s="1"/>
  <c r="F429"/>
  <c r="I429" s="1"/>
  <c r="J429" s="1"/>
  <c r="I428"/>
  <c r="J428" s="1"/>
  <c r="H428"/>
  <c r="G428"/>
  <c r="F428"/>
  <c r="F427"/>
  <c r="G427" s="1"/>
  <c r="H427" s="1"/>
  <c r="F426"/>
  <c r="G426" s="1"/>
  <c r="H426" s="1"/>
  <c r="G425"/>
  <c r="H425" s="1"/>
  <c r="F425"/>
  <c r="I424"/>
  <c r="J424" s="1"/>
  <c r="H424"/>
  <c r="G424"/>
  <c r="F424"/>
  <c r="F423"/>
  <c r="G423" s="1"/>
  <c r="H423" s="1"/>
  <c r="F422"/>
  <c r="G422" s="1"/>
  <c r="H422" s="1"/>
  <c r="H421"/>
  <c r="G421"/>
  <c r="F421"/>
  <c r="I421" s="1"/>
  <c r="J421" s="1"/>
  <c r="I420"/>
  <c r="J420" s="1"/>
  <c r="H420"/>
  <c r="G420"/>
  <c r="F420"/>
  <c r="I419"/>
  <c r="J419" s="1"/>
  <c r="F419"/>
  <c r="G419" s="1"/>
  <c r="H419" s="1"/>
  <c r="F418"/>
  <c r="G418" s="1"/>
  <c r="H418" s="1"/>
  <c r="G417"/>
  <c r="H417" s="1"/>
  <c r="F417"/>
  <c r="I417" s="1"/>
  <c r="J417" s="1"/>
  <c r="I416"/>
  <c r="J416" s="1"/>
  <c r="H416"/>
  <c r="G416"/>
  <c r="F416"/>
  <c r="I414"/>
  <c r="F414"/>
  <c r="D414"/>
  <c r="I413"/>
  <c r="J413" s="1"/>
  <c r="H413"/>
  <c r="G413"/>
  <c r="F413"/>
  <c r="I412"/>
  <c r="J412" s="1"/>
  <c r="F412"/>
  <c r="G412" s="1"/>
  <c r="H412" s="1"/>
  <c r="F411"/>
  <c r="G411" s="1"/>
  <c r="H411" s="1"/>
  <c r="G410"/>
  <c r="H410" s="1"/>
  <c r="F410"/>
  <c r="I410" s="1"/>
  <c r="J410" s="1"/>
  <c r="I409"/>
  <c r="J409" s="1"/>
  <c r="F409"/>
  <c r="G409" s="1"/>
  <c r="H409" s="1"/>
  <c r="I408"/>
  <c r="J408" s="1"/>
  <c r="F408"/>
  <c r="G408" s="1"/>
  <c r="H408" s="1"/>
  <c r="F407"/>
  <c r="G407" s="1"/>
  <c r="H407" s="1"/>
  <c r="G406"/>
  <c r="H406" s="1"/>
  <c r="F406"/>
  <c r="I406" s="1"/>
  <c r="J406" s="1"/>
  <c r="I405"/>
  <c r="J405" s="1"/>
  <c r="F405"/>
  <c r="G405" s="1"/>
  <c r="H405" s="1"/>
  <c r="I404"/>
  <c r="J404" s="1"/>
  <c r="F404"/>
  <c r="G404" s="1"/>
  <c r="H404" s="1"/>
  <c r="G403"/>
  <c r="H403" s="1"/>
  <c r="F403"/>
  <c r="F402"/>
  <c r="G402" s="1"/>
  <c r="F401"/>
  <c r="G401" s="1"/>
  <c r="F400"/>
  <c r="G400" s="1"/>
  <c r="H400" s="1"/>
  <c r="G399"/>
  <c r="H399" s="1"/>
  <c r="F399"/>
  <c r="F398"/>
  <c r="G398" s="1"/>
  <c r="G396"/>
  <c r="H396" s="1"/>
  <c r="E396"/>
  <c r="D396"/>
  <c r="F395"/>
  <c r="G395" s="1"/>
  <c r="F394"/>
  <c r="G394" s="1"/>
  <c r="F393"/>
  <c r="G393" s="1"/>
  <c r="H393" s="1"/>
  <c r="G392"/>
  <c r="H392" s="1"/>
  <c r="F392"/>
  <c r="F391"/>
  <c r="G391" s="1"/>
  <c r="F390"/>
  <c r="G390" s="1"/>
  <c r="F389"/>
  <c r="G389" s="1"/>
  <c r="H389" s="1"/>
  <c r="G388"/>
  <c r="H388" s="1"/>
  <c r="F388"/>
  <c r="F387"/>
  <c r="G387" s="1"/>
  <c r="F386"/>
  <c r="G386" s="1"/>
  <c r="F385"/>
  <c r="G385" s="1"/>
  <c r="H385" s="1"/>
  <c r="G384"/>
  <c r="H384" s="1"/>
  <c r="F384"/>
  <c r="F383"/>
  <c r="G383" s="1"/>
  <c r="F382"/>
  <c r="G382" s="1"/>
  <c r="F381"/>
  <c r="G381" s="1"/>
  <c r="H381" s="1"/>
  <c r="D379"/>
  <c r="F379" s="1"/>
  <c r="G378"/>
  <c r="H378" s="1"/>
  <c r="F378"/>
  <c r="F377"/>
  <c r="G377" s="1"/>
  <c r="F376"/>
  <c r="G376" s="1"/>
  <c r="F375"/>
  <c r="G375" s="1"/>
  <c r="H375" s="1"/>
  <c r="G374"/>
  <c r="H374" s="1"/>
  <c r="F374"/>
  <c r="F373"/>
  <c r="G373" s="1"/>
  <c r="F372"/>
  <c r="G372" s="1"/>
  <c r="F371"/>
  <c r="G371" s="1"/>
  <c r="H371" s="1"/>
  <c r="G370"/>
  <c r="H370" s="1"/>
  <c r="F370"/>
  <c r="F369"/>
  <c r="G369" s="1"/>
  <c r="F368"/>
  <c r="G368" s="1"/>
  <c r="F367"/>
  <c r="G367" s="1"/>
  <c r="H367" s="1"/>
  <c r="G366"/>
  <c r="H366" s="1"/>
  <c r="F366"/>
  <c r="F365"/>
  <c r="G365" s="1"/>
  <c r="F364"/>
  <c r="G364" s="1"/>
  <c r="F363"/>
  <c r="G363" s="1"/>
  <c r="H363" s="1"/>
  <c r="G362"/>
  <c r="H362" s="1"/>
  <c r="F362"/>
  <c r="G360"/>
  <c r="H360" s="1"/>
  <c r="E360"/>
  <c r="I360" s="1"/>
  <c r="D360"/>
  <c r="G359"/>
  <c r="H359" s="1"/>
  <c r="F359"/>
  <c r="F358"/>
  <c r="G358" s="1"/>
  <c r="F357"/>
  <c r="G357" s="1"/>
  <c r="F356"/>
  <c r="G356" s="1"/>
  <c r="H356" s="1"/>
  <c r="G355"/>
  <c r="H355" s="1"/>
  <c r="F355"/>
  <c r="F354"/>
  <c r="G354" s="1"/>
  <c r="F353"/>
  <c r="G353" s="1"/>
  <c r="F352"/>
  <c r="G352" s="1"/>
  <c r="H352" s="1"/>
  <c r="G351"/>
  <c r="H351" s="1"/>
  <c r="F351"/>
  <c r="F350"/>
  <c r="G350" s="1"/>
  <c r="F349"/>
  <c r="G349" s="1"/>
  <c r="F348"/>
  <c r="G348" s="1"/>
  <c r="H348" s="1"/>
  <c r="G347"/>
  <c r="H347" s="1"/>
  <c r="F347"/>
  <c r="G345"/>
  <c r="E345"/>
  <c r="F345" s="1"/>
  <c r="D345"/>
  <c r="D344" s="1"/>
  <c r="E344"/>
  <c r="F343"/>
  <c r="G343" s="1"/>
  <c r="F342"/>
  <c r="G342" s="1"/>
  <c r="F341"/>
  <c r="G341" s="1"/>
  <c r="H341" s="1"/>
  <c r="G340"/>
  <c r="H340" s="1"/>
  <c r="F340"/>
  <c r="F339"/>
  <c r="G339" s="1"/>
  <c r="F338"/>
  <c r="G338" s="1"/>
  <c r="F337"/>
  <c r="G337" s="1"/>
  <c r="H337" s="1"/>
  <c r="G336"/>
  <c r="H336" s="1"/>
  <c r="F336"/>
  <c r="F335"/>
  <c r="G335" s="1"/>
  <c r="F334"/>
  <c r="G334" s="1"/>
  <c r="F333"/>
  <c r="G333" s="1"/>
  <c r="H333" s="1"/>
  <c r="G332"/>
  <c r="H332" s="1"/>
  <c r="F332"/>
  <c r="H331"/>
  <c r="F331"/>
  <c r="G331" s="1"/>
  <c r="I331" s="1"/>
  <c r="J331" s="1"/>
  <c r="F330"/>
  <c r="G330" s="1"/>
  <c r="H330" s="1"/>
  <c r="F329"/>
  <c r="G328"/>
  <c r="F328"/>
  <c r="H327"/>
  <c r="F327"/>
  <c r="G327" s="1"/>
  <c r="I327" s="1"/>
  <c r="J327" s="1"/>
  <c r="F326"/>
  <c r="G326" s="1"/>
  <c r="H326" s="1"/>
  <c r="F325"/>
  <c r="G324"/>
  <c r="F324"/>
  <c r="I322"/>
  <c r="J322" s="1"/>
  <c r="E322"/>
  <c r="H322" s="1"/>
  <c r="D322"/>
  <c r="F321"/>
  <c r="G320"/>
  <c r="F320"/>
  <c r="H319"/>
  <c r="F319"/>
  <c r="G319" s="1"/>
  <c r="I319" s="1"/>
  <c r="J319" s="1"/>
  <c r="F318"/>
  <c r="G318" s="1"/>
  <c r="H318" s="1"/>
  <c r="F317"/>
  <c r="G316"/>
  <c r="F316"/>
  <c r="H315"/>
  <c r="F315"/>
  <c r="G315" s="1"/>
  <c r="I315" s="1"/>
  <c r="J315" s="1"/>
  <c r="F314"/>
  <c r="G314" s="1"/>
  <c r="H314" s="1"/>
  <c r="F313"/>
  <c r="G312"/>
  <c r="F312"/>
  <c r="H311"/>
  <c r="F311"/>
  <c r="G311" s="1"/>
  <c r="I311" s="1"/>
  <c r="J311" s="1"/>
  <c r="F310"/>
  <c r="G310" s="1"/>
  <c r="H310" s="1"/>
  <c r="F309"/>
  <c r="G308"/>
  <c r="F308"/>
  <c r="H307"/>
  <c r="F307"/>
  <c r="G307" s="1"/>
  <c r="I307" s="1"/>
  <c r="J307" s="1"/>
  <c r="F306"/>
  <c r="G306" s="1"/>
  <c r="H306" s="1"/>
  <c r="F305"/>
  <c r="G304"/>
  <c r="F304"/>
  <c r="H303"/>
  <c r="F303"/>
  <c r="G303" s="1"/>
  <c r="I303" s="1"/>
  <c r="J303" s="1"/>
  <c r="F302"/>
  <c r="G302" s="1"/>
  <c r="H302" s="1"/>
  <c r="F301"/>
  <c r="G300"/>
  <c r="F300"/>
  <c r="G298"/>
  <c r="H298" s="1"/>
  <c r="E298"/>
  <c r="D298"/>
  <c r="H297"/>
  <c r="G297"/>
  <c r="I297" s="1"/>
  <c r="J297" s="1"/>
  <c r="F297"/>
  <c r="I296"/>
  <c r="J296" s="1"/>
  <c r="H296"/>
  <c r="F296"/>
  <c r="G296" s="1"/>
  <c r="I295"/>
  <c r="J295" s="1"/>
  <c r="F295"/>
  <c r="G295" s="1"/>
  <c r="H295" s="1"/>
  <c r="F294"/>
  <c r="G294" s="1"/>
  <c r="H294" s="1"/>
  <c r="H293"/>
  <c r="G293"/>
  <c r="I293" s="1"/>
  <c r="J293" s="1"/>
  <c r="F293"/>
  <c r="I292"/>
  <c r="J292" s="1"/>
  <c r="H292"/>
  <c r="F292"/>
  <c r="G292" s="1"/>
  <c r="I291"/>
  <c r="J291" s="1"/>
  <c r="F291"/>
  <c r="G291" s="1"/>
  <c r="H291" s="1"/>
  <c r="F290"/>
  <c r="G290" s="1"/>
  <c r="H290" s="1"/>
  <c r="H289"/>
  <c r="G289"/>
  <c r="I289" s="1"/>
  <c r="J289" s="1"/>
  <c r="F289"/>
  <c r="I288"/>
  <c r="J288" s="1"/>
  <c r="H288"/>
  <c r="F288"/>
  <c r="G288" s="1"/>
  <c r="I287"/>
  <c r="J287" s="1"/>
  <c r="F287"/>
  <c r="G287" s="1"/>
  <c r="H287" s="1"/>
  <c r="F286"/>
  <c r="G286" s="1"/>
  <c r="H286" s="1"/>
  <c r="H285"/>
  <c r="G285"/>
  <c r="I285" s="1"/>
  <c r="J285" s="1"/>
  <c r="F285"/>
  <c r="I284"/>
  <c r="J284" s="1"/>
  <c r="H284"/>
  <c r="F284"/>
  <c r="G284" s="1"/>
  <c r="F283"/>
  <c r="G283" s="1"/>
  <c r="H283" s="1"/>
  <c r="F282"/>
  <c r="G282" s="1"/>
  <c r="H282" s="1"/>
  <c r="H281"/>
  <c r="G281"/>
  <c r="I281" s="1"/>
  <c r="J281" s="1"/>
  <c r="F281"/>
  <c r="I280"/>
  <c r="J280" s="1"/>
  <c r="H280"/>
  <c r="F280"/>
  <c r="G280" s="1"/>
  <c r="F279"/>
  <c r="G279" s="1"/>
  <c r="H279" s="1"/>
  <c r="F278"/>
  <c r="G278" s="1"/>
  <c r="H278" s="1"/>
  <c r="H277"/>
  <c r="G277"/>
  <c r="I277" s="1"/>
  <c r="J277" s="1"/>
  <c r="F277"/>
  <c r="I276"/>
  <c r="J276" s="1"/>
  <c r="H276"/>
  <c r="F276"/>
  <c r="G276" s="1"/>
  <c r="G274"/>
  <c r="E274"/>
  <c r="F274" s="1"/>
  <c r="D274"/>
  <c r="I273"/>
  <c r="J273" s="1"/>
  <c r="H273"/>
  <c r="F273"/>
  <c r="G273" s="1"/>
  <c r="I272"/>
  <c r="J272" s="1"/>
  <c r="F272"/>
  <c r="G272" s="1"/>
  <c r="H272" s="1"/>
  <c r="F271"/>
  <c r="G271" s="1"/>
  <c r="H271" s="1"/>
  <c r="H270"/>
  <c r="G270"/>
  <c r="I270" s="1"/>
  <c r="J270" s="1"/>
  <c r="F270"/>
  <c r="I269"/>
  <c r="J269" s="1"/>
  <c r="H269"/>
  <c r="F269"/>
  <c r="G269" s="1"/>
  <c r="I268"/>
  <c r="J268" s="1"/>
  <c r="F268"/>
  <c r="G268" s="1"/>
  <c r="H268" s="1"/>
  <c r="F267"/>
  <c r="G267" s="1"/>
  <c r="H267" s="1"/>
  <c r="H266"/>
  <c r="G266"/>
  <c r="I266" s="1"/>
  <c r="J266" s="1"/>
  <c r="F266"/>
  <c r="I265"/>
  <c r="J265" s="1"/>
  <c r="H265"/>
  <c r="F265"/>
  <c r="G265" s="1"/>
  <c r="I264"/>
  <c r="J264" s="1"/>
  <c r="F264"/>
  <c r="G264" s="1"/>
  <c r="H264" s="1"/>
  <c r="F263"/>
  <c r="G263" s="1"/>
  <c r="H263" s="1"/>
  <c r="H262"/>
  <c r="G262"/>
  <c r="I262" s="1"/>
  <c r="J262" s="1"/>
  <c r="F262"/>
  <c r="I261"/>
  <c r="J261" s="1"/>
  <c r="H261"/>
  <c r="F261"/>
  <c r="G261" s="1"/>
  <c r="I260"/>
  <c r="J260" s="1"/>
  <c r="F260"/>
  <c r="G260" s="1"/>
  <c r="H260" s="1"/>
  <c r="F259"/>
  <c r="G259" s="1"/>
  <c r="H259" s="1"/>
  <c r="H258"/>
  <c r="G258"/>
  <c r="I258" s="1"/>
  <c r="J258" s="1"/>
  <c r="F258"/>
  <c r="I257"/>
  <c r="J257" s="1"/>
  <c r="H257"/>
  <c r="F257"/>
  <c r="G257" s="1"/>
  <c r="I256"/>
  <c r="J256" s="1"/>
  <c r="F256"/>
  <c r="G256" s="1"/>
  <c r="H256" s="1"/>
  <c r="F255"/>
  <c r="G255" s="1"/>
  <c r="H255" s="1"/>
  <c r="H254"/>
  <c r="G254"/>
  <c r="I254" s="1"/>
  <c r="J254" s="1"/>
  <c r="F254"/>
  <c r="I253"/>
  <c r="J253" s="1"/>
  <c r="H253"/>
  <c r="F253"/>
  <c r="G253" s="1"/>
  <c r="G251"/>
  <c r="E251"/>
  <c r="F251" s="1"/>
  <c r="D251"/>
  <c r="F250"/>
  <c r="G250" s="1"/>
  <c r="H250" s="1"/>
  <c r="J249"/>
  <c r="I249"/>
  <c r="F249"/>
  <c r="G249" s="1"/>
  <c r="H249" s="1"/>
  <c r="G248"/>
  <c r="H248" s="1"/>
  <c r="F248"/>
  <c r="G247"/>
  <c r="I247" s="1"/>
  <c r="J247" s="1"/>
  <c r="F247"/>
  <c r="F246"/>
  <c r="G246" s="1"/>
  <c r="H246" s="1"/>
  <c r="J245"/>
  <c r="I245"/>
  <c r="F245"/>
  <c r="G245" s="1"/>
  <c r="H245" s="1"/>
  <c r="G244"/>
  <c r="H244" s="1"/>
  <c r="F244"/>
  <c r="G243"/>
  <c r="I243" s="1"/>
  <c r="J243" s="1"/>
  <c r="F243"/>
  <c r="F242"/>
  <c r="G242" s="1"/>
  <c r="H242" s="1"/>
  <c r="J241"/>
  <c r="I241"/>
  <c r="F241"/>
  <c r="G241" s="1"/>
  <c r="H241" s="1"/>
  <c r="G240"/>
  <c r="H240" s="1"/>
  <c r="F240"/>
  <c r="G239"/>
  <c r="I239" s="1"/>
  <c r="J239" s="1"/>
  <c r="F239"/>
  <c r="F238"/>
  <c r="G238" s="1"/>
  <c r="H238" s="1"/>
  <c r="J237"/>
  <c r="I237"/>
  <c r="F237"/>
  <c r="G237" s="1"/>
  <c r="H237" s="1"/>
  <c r="G236"/>
  <c r="H236" s="1"/>
  <c r="F236"/>
  <c r="G235"/>
  <c r="I235" s="1"/>
  <c r="J235" s="1"/>
  <c r="F235"/>
  <c r="F234"/>
  <c r="G234" s="1"/>
  <c r="H234" s="1"/>
  <c r="J233"/>
  <c r="I233"/>
  <c r="F233"/>
  <c r="G233" s="1"/>
  <c r="H233" s="1"/>
  <c r="G231"/>
  <c r="H231" s="1"/>
  <c r="E231"/>
  <c r="D231"/>
  <c r="F231" s="1"/>
  <c r="F230"/>
  <c r="G230" s="1"/>
  <c r="H230" s="1"/>
  <c r="F229"/>
  <c r="G229" s="1"/>
  <c r="H229" s="1"/>
  <c r="I228"/>
  <c r="J228" s="1"/>
  <c r="H228"/>
  <c r="G228"/>
  <c r="F228"/>
  <c r="F227"/>
  <c r="G227" s="1"/>
  <c r="H227" s="1"/>
  <c r="F226"/>
  <c r="G226" s="1"/>
  <c r="H226" s="1"/>
  <c r="F225"/>
  <c r="G225" s="1"/>
  <c r="H225" s="1"/>
  <c r="I224"/>
  <c r="J224" s="1"/>
  <c r="H224"/>
  <c r="G224"/>
  <c r="F224"/>
  <c r="F223"/>
  <c r="G223" s="1"/>
  <c r="H223" s="1"/>
  <c r="F222"/>
  <c r="G222" s="1"/>
  <c r="H222" s="1"/>
  <c r="F221"/>
  <c r="G221" s="1"/>
  <c r="H221" s="1"/>
  <c r="I220"/>
  <c r="J220" s="1"/>
  <c r="H220"/>
  <c r="G220"/>
  <c r="F220"/>
  <c r="F219"/>
  <c r="G219" s="1"/>
  <c r="H219" s="1"/>
  <c r="F218"/>
  <c r="G218" s="1"/>
  <c r="H218" s="1"/>
  <c r="F217"/>
  <c r="G217" s="1"/>
  <c r="H217" s="1"/>
  <c r="I216"/>
  <c r="J216" s="1"/>
  <c r="H216"/>
  <c r="G216"/>
  <c r="F216"/>
  <c r="F215"/>
  <c r="G215" s="1"/>
  <c r="H215" s="1"/>
  <c r="F214"/>
  <c r="G214" s="1"/>
  <c r="H214" s="1"/>
  <c r="G212"/>
  <c r="H212" s="1"/>
  <c r="F212"/>
  <c r="E212"/>
  <c r="D212"/>
  <c r="G211"/>
  <c r="I210"/>
  <c r="J210" s="1"/>
  <c r="H210"/>
  <c r="F210"/>
  <c r="G210" s="1"/>
  <c r="I209"/>
  <c r="J209" s="1"/>
  <c r="G209"/>
  <c r="H209" s="1"/>
  <c r="F209"/>
  <c r="H208"/>
  <c r="G208"/>
  <c r="F208"/>
  <c r="I207"/>
  <c r="J207" s="1"/>
  <c r="H207"/>
  <c r="G207"/>
  <c r="F207"/>
  <c r="I206"/>
  <c r="J206" s="1"/>
  <c r="H206"/>
  <c r="F206"/>
  <c r="G206" s="1"/>
  <c r="I205"/>
  <c r="J205" s="1"/>
  <c r="G205"/>
  <c r="H205" s="1"/>
  <c r="F205"/>
  <c r="H204"/>
  <c r="G204"/>
  <c r="F204"/>
  <c r="I203"/>
  <c r="J203" s="1"/>
  <c r="H203"/>
  <c r="G203"/>
  <c r="F203"/>
  <c r="F202"/>
  <c r="G202" s="1"/>
  <c r="F201"/>
  <c r="G201" s="1"/>
  <c r="H201" s="1"/>
  <c r="G200"/>
  <c r="H200" s="1"/>
  <c r="F200"/>
  <c r="I200" s="1"/>
  <c r="J200" s="1"/>
  <c r="I199"/>
  <c r="J199" s="1"/>
  <c r="H199"/>
  <c r="G199"/>
  <c r="F199"/>
  <c r="F198"/>
  <c r="G198" s="1"/>
  <c r="F197"/>
  <c r="G197" s="1"/>
  <c r="H197" s="1"/>
  <c r="G196"/>
  <c r="H196" s="1"/>
  <c r="F196"/>
  <c r="I196" s="1"/>
  <c r="J196" s="1"/>
  <c r="I195"/>
  <c r="J195" s="1"/>
  <c r="H195"/>
  <c r="G195"/>
  <c r="F195"/>
  <c r="F194"/>
  <c r="G194" s="1"/>
  <c r="F193"/>
  <c r="G193" s="1"/>
  <c r="H193" s="1"/>
  <c r="G192"/>
  <c r="H192" s="1"/>
  <c r="F192"/>
  <c r="I192" s="1"/>
  <c r="J192" s="1"/>
  <c r="I191"/>
  <c r="J191" s="1"/>
  <c r="H191"/>
  <c r="G191"/>
  <c r="F191"/>
  <c r="G189"/>
  <c r="E189"/>
  <c r="I189" s="1"/>
  <c r="J189" s="1"/>
  <c r="D189"/>
  <c r="I188"/>
  <c r="J188" s="1"/>
  <c r="H188"/>
  <c r="G188"/>
  <c r="F188"/>
  <c r="F187"/>
  <c r="G187" s="1"/>
  <c r="F186"/>
  <c r="G186" s="1"/>
  <c r="H186" s="1"/>
  <c r="H184"/>
  <c r="E184"/>
  <c r="I184" s="1"/>
  <c r="J184" s="1"/>
  <c r="D184"/>
  <c r="F183"/>
  <c r="G183" s="1"/>
  <c r="F182"/>
  <c r="G182" s="1"/>
  <c r="H182" s="1"/>
  <c r="G181"/>
  <c r="H181" s="1"/>
  <c r="F181"/>
  <c r="I181" s="1"/>
  <c r="J181" s="1"/>
  <c r="I180"/>
  <c r="J180" s="1"/>
  <c r="H180"/>
  <c r="G180"/>
  <c r="F180"/>
  <c r="F179"/>
  <c r="G179" s="1"/>
  <c r="F178"/>
  <c r="G178" s="1"/>
  <c r="H178" s="1"/>
  <c r="G177"/>
  <c r="H177" s="1"/>
  <c r="F177"/>
  <c r="I177" s="1"/>
  <c r="J177" s="1"/>
  <c r="I176"/>
  <c r="J176" s="1"/>
  <c r="H176"/>
  <c r="G176"/>
  <c r="F176"/>
  <c r="F175"/>
  <c r="G175" s="1"/>
  <c r="F174"/>
  <c r="G174" s="1"/>
  <c r="H174" s="1"/>
  <c r="G173"/>
  <c r="H173" s="1"/>
  <c r="F173"/>
  <c r="I173" s="1"/>
  <c r="J173" s="1"/>
  <c r="I172"/>
  <c r="J172" s="1"/>
  <c r="H172"/>
  <c r="G172"/>
  <c r="F172"/>
  <c r="F171"/>
  <c r="G171" s="1"/>
  <c r="F170"/>
  <c r="G170" s="1"/>
  <c r="H170" s="1"/>
  <c r="G169"/>
  <c r="H169" s="1"/>
  <c r="F169"/>
  <c r="I169" s="1"/>
  <c r="J169" s="1"/>
  <c r="I168"/>
  <c r="J168" s="1"/>
  <c r="H168"/>
  <c r="G168"/>
  <c r="F168"/>
  <c r="F167"/>
  <c r="G167" s="1"/>
  <c r="F166"/>
  <c r="G166" s="1"/>
  <c r="H166" s="1"/>
  <c r="G165"/>
  <c r="H165" s="1"/>
  <c r="F165"/>
  <c r="I165" s="1"/>
  <c r="J165" s="1"/>
  <c r="I164"/>
  <c r="J164" s="1"/>
  <c r="H164"/>
  <c r="G164"/>
  <c r="F164"/>
  <c r="G162"/>
  <c r="E162"/>
  <c r="D162"/>
  <c r="I161"/>
  <c r="J161" s="1"/>
  <c r="H161"/>
  <c r="G161"/>
  <c r="F161"/>
  <c r="F160"/>
  <c r="G160" s="1"/>
  <c r="F159"/>
  <c r="G159" s="1"/>
  <c r="H159" s="1"/>
  <c r="G158"/>
  <c r="H158" s="1"/>
  <c r="F158"/>
  <c r="I158" s="1"/>
  <c r="J158" s="1"/>
  <c r="I157"/>
  <c r="J157" s="1"/>
  <c r="H157"/>
  <c r="G157"/>
  <c r="F157"/>
  <c r="F156"/>
  <c r="G156" s="1"/>
  <c r="F155"/>
  <c r="G155" s="1"/>
  <c r="H155" s="1"/>
  <c r="G153"/>
  <c r="H153" s="1"/>
  <c r="E153"/>
  <c r="I153" s="1"/>
  <c r="D153"/>
  <c r="D152" s="1"/>
  <c r="F151"/>
  <c r="G151" s="1"/>
  <c r="F150"/>
  <c r="G150" s="1"/>
  <c r="H150" s="1"/>
  <c r="G149"/>
  <c r="H149" s="1"/>
  <c r="F149"/>
  <c r="I149" s="1"/>
  <c r="J149" s="1"/>
  <c r="I148"/>
  <c r="J148" s="1"/>
  <c r="H148"/>
  <c r="G148"/>
  <c r="F148"/>
  <c r="F147"/>
  <c r="G147" s="1"/>
  <c r="F146"/>
  <c r="G146" s="1"/>
  <c r="H146" s="1"/>
  <c r="G145"/>
  <c r="H145" s="1"/>
  <c r="F145"/>
  <c r="I145" s="1"/>
  <c r="J145" s="1"/>
  <c r="I144"/>
  <c r="J144" s="1"/>
  <c r="H144"/>
  <c r="G144"/>
  <c r="F144"/>
  <c r="F143"/>
  <c r="G143" s="1"/>
  <c r="F142"/>
  <c r="G142" s="1"/>
  <c r="H142" s="1"/>
  <c r="G141"/>
  <c r="H141" s="1"/>
  <c r="F141"/>
  <c r="I141" s="1"/>
  <c r="J141" s="1"/>
  <c r="I140"/>
  <c r="J140" s="1"/>
  <c r="H140"/>
  <c r="G140"/>
  <c r="F140"/>
  <c r="F139"/>
  <c r="G139" s="1"/>
  <c r="F138"/>
  <c r="G138" s="1"/>
  <c r="H138" s="1"/>
  <c r="G136"/>
  <c r="H136" s="1"/>
  <c r="E136"/>
  <c r="D136"/>
  <c r="D135" s="1"/>
  <c r="E135"/>
  <c r="F134"/>
  <c r="G134" s="1"/>
  <c r="F133"/>
  <c r="G133" s="1"/>
  <c r="H133" s="1"/>
  <c r="G132"/>
  <c r="H132" s="1"/>
  <c r="F132"/>
  <c r="I132" s="1"/>
  <c r="J132" s="1"/>
  <c r="I131"/>
  <c r="J131" s="1"/>
  <c r="H131"/>
  <c r="G131"/>
  <c r="F131"/>
  <c r="F130"/>
  <c r="G130" s="1"/>
  <c r="F129"/>
  <c r="G129" s="1"/>
  <c r="H129" s="1"/>
  <c r="G128"/>
  <c r="H128" s="1"/>
  <c r="F128"/>
  <c r="I128" s="1"/>
  <c r="J128" s="1"/>
  <c r="I127"/>
  <c r="J127" s="1"/>
  <c r="H127"/>
  <c r="G127"/>
  <c r="F127"/>
  <c r="F126"/>
  <c r="G126" s="1"/>
  <c r="F125"/>
  <c r="G125" s="1"/>
  <c r="H125" s="1"/>
  <c r="G124"/>
  <c r="H124" s="1"/>
  <c r="F124"/>
  <c r="I124" s="1"/>
  <c r="J124" s="1"/>
  <c r="I123"/>
  <c r="J123" s="1"/>
  <c r="H123"/>
  <c r="G123"/>
  <c r="F123"/>
  <c r="F122"/>
  <c r="G122" s="1"/>
  <c r="F121"/>
  <c r="G121" s="1"/>
  <c r="H121" s="1"/>
  <c r="G119"/>
  <c r="H119" s="1"/>
  <c r="E119"/>
  <c r="I119" s="1"/>
  <c r="D119"/>
  <c r="D118" s="1"/>
  <c r="F117"/>
  <c r="G117" s="1"/>
  <c r="F116"/>
  <c r="G116" s="1"/>
  <c r="H116" s="1"/>
  <c r="G115"/>
  <c r="H115" s="1"/>
  <c r="F115"/>
  <c r="I115" s="1"/>
  <c r="J115" s="1"/>
  <c r="I113"/>
  <c r="J113" s="1"/>
  <c r="H113"/>
  <c r="E113"/>
  <c r="F113" s="1"/>
  <c r="F112"/>
  <c r="G112" s="1"/>
  <c r="F111"/>
  <c r="G111" s="1"/>
  <c r="H111" s="1"/>
  <c r="G110"/>
  <c r="H110" s="1"/>
  <c r="F110"/>
  <c r="I110" s="1"/>
  <c r="J110" s="1"/>
  <c r="H108"/>
  <c r="G108"/>
  <c r="E108"/>
  <c r="D108"/>
  <c r="F108" s="1"/>
  <c r="G107"/>
  <c r="H107" s="1"/>
  <c r="F107"/>
  <c r="I107" s="1"/>
  <c r="J107" s="1"/>
  <c r="I106"/>
  <c r="J106" s="1"/>
  <c r="H106"/>
  <c r="G106"/>
  <c r="F106"/>
  <c r="F105"/>
  <c r="G105" s="1"/>
  <c r="F104"/>
  <c r="G104" s="1"/>
  <c r="H104" s="1"/>
  <c r="G103"/>
  <c r="H103" s="1"/>
  <c r="F103"/>
  <c r="I103" s="1"/>
  <c r="J103" s="1"/>
  <c r="I102"/>
  <c r="J102" s="1"/>
  <c r="H102"/>
  <c r="G102"/>
  <c r="F102"/>
  <c r="F101"/>
  <c r="G101" s="1"/>
  <c r="G99"/>
  <c r="H99" s="1"/>
  <c r="E99"/>
  <c r="I98"/>
  <c r="J98" s="1"/>
  <c r="H98"/>
  <c r="G98"/>
  <c r="F98"/>
  <c r="F97"/>
  <c r="G97" s="1"/>
  <c r="F96"/>
  <c r="G96" s="1"/>
  <c r="H96" s="1"/>
  <c r="G95"/>
  <c r="H95" s="1"/>
  <c r="F95"/>
  <c r="I95" s="1"/>
  <c r="J95" s="1"/>
  <c r="I94"/>
  <c r="J94" s="1"/>
  <c r="H94"/>
  <c r="G94"/>
  <c r="F94"/>
  <c r="F93"/>
  <c r="G93" s="1"/>
  <c r="F92"/>
  <c r="G92" s="1"/>
  <c r="H92" s="1"/>
  <c r="G91"/>
  <c r="H91" s="1"/>
  <c r="F91"/>
  <c r="I91" s="1"/>
  <c r="J91" s="1"/>
  <c r="I90"/>
  <c r="J90" s="1"/>
  <c r="H90"/>
  <c r="G90"/>
  <c r="F90"/>
  <c r="F89"/>
  <c r="G89" s="1"/>
  <c r="G87"/>
  <c r="H87" s="1"/>
  <c r="E87"/>
  <c r="I87" s="1"/>
  <c r="D87"/>
  <c r="E86"/>
  <c r="I85"/>
  <c r="J85" s="1"/>
  <c r="H85"/>
  <c r="G85"/>
  <c r="F85"/>
  <c r="F84"/>
  <c r="G84" s="1"/>
  <c r="F83"/>
  <c r="G83" s="1"/>
  <c r="H83" s="1"/>
  <c r="G82"/>
  <c r="H82" s="1"/>
  <c r="F82"/>
  <c r="I82" s="1"/>
  <c r="J82" s="1"/>
  <c r="I81"/>
  <c r="J81" s="1"/>
  <c r="H81"/>
  <c r="G81"/>
  <c r="F81"/>
  <c r="F80"/>
  <c r="G80" s="1"/>
  <c r="F79"/>
  <c r="G79" s="1"/>
  <c r="H79" s="1"/>
  <c r="G78"/>
  <c r="H78" s="1"/>
  <c r="F78"/>
  <c r="I78" s="1"/>
  <c r="J78" s="1"/>
  <c r="I77"/>
  <c r="J77" s="1"/>
  <c r="H77"/>
  <c r="G77"/>
  <c r="F77"/>
  <c r="G75"/>
  <c r="E75"/>
  <c r="F75" s="1"/>
  <c r="D75"/>
  <c r="I74"/>
  <c r="J74" s="1"/>
  <c r="H74"/>
  <c r="G74"/>
  <c r="F74"/>
  <c r="F73"/>
  <c r="G73" s="1"/>
  <c r="F72"/>
  <c r="G72" s="1"/>
  <c r="H72" s="1"/>
  <c r="G71"/>
  <c r="H71" s="1"/>
  <c r="F71"/>
  <c r="I71" s="1"/>
  <c r="J71" s="1"/>
  <c r="I70"/>
  <c r="J70" s="1"/>
  <c r="H70"/>
  <c r="G70"/>
  <c r="F70"/>
  <c r="F69"/>
  <c r="G69" s="1"/>
  <c r="F68"/>
  <c r="G68" s="1"/>
  <c r="H68" s="1"/>
  <c r="G66"/>
  <c r="H66" s="1"/>
  <c r="E66"/>
  <c r="D66"/>
  <c r="F66" s="1"/>
  <c r="F65"/>
  <c r="G65" s="1"/>
  <c r="H65" s="1"/>
  <c r="G64"/>
  <c r="H64" s="1"/>
  <c r="F64"/>
  <c r="I64" s="1"/>
  <c r="J64" s="1"/>
  <c r="I63"/>
  <c r="J63" s="1"/>
  <c r="H63"/>
  <c r="G63"/>
  <c r="F63"/>
  <c r="F62"/>
  <c r="G62" s="1"/>
  <c r="F61"/>
  <c r="G61" s="1"/>
  <c r="H61" s="1"/>
  <c r="G60"/>
  <c r="H60" s="1"/>
  <c r="F60"/>
  <c r="I60" s="1"/>
  <c r="J60" s="1"/>
  <c r="I59"/>
  <c r="J59" s="1"/>
  <c r="H59"/>
  <c r="G59"/>
  <c r="F59"/>
  <c r="F58"/>
  <c r="G58" s="1"/>
  <c r="F57"/>
  <c r="G57" s="1"/>
  <c r="H57" s="1"/>
  <c r="G56"/>
  <c r="H56" s="1"/>
  <c r="F56"/>
  <c r="I56" s="1"/>
  <c r="J56" s="1"/>
  <c r="I55"/>
  <c r="J55" s="1"/>
  <c r="H55"/>
  <c r="G55"/>
  <c r="F55"/>
  <c r="F54"/>
  <c r="G54" s="1"/>
  <c r="G52"/>
  <c r="H52" s="1"/>
  <c r="F52"/>
  <c r="E52"/>
  <c r="D52"/>
  <c r="F51"/>
  <c r="G51" s="1"/>
  <c r="F50"/>
  <c r="G50" s="1"/>
  <c r="H50" s="1"/>
  <c r="G49"/>
  <c r="H49" s="1"/>
  <c r="F49"/>
  <c r="I49" s="1"/>
  <c r="J49" s="1"/>
  <c r="I48"/>
  <c r="J48" s="1"/>
  <c r="H48"/>
  <c r="G48"/>
  <c r="F48"/>
  <c r="F47"/>
  <c r="G47" s="1"/>
  <c r="F46"/>
  <c r="G46" s="1"/>
  <c r="H46" s="1"/>
  <c r="G45"/>
  <c r="H45" s="1"/>
  <c r="F45"/>
  <c r="I45" s="1"/>
  <c r="J45" s="1"/>
  <c r="G43"/>
  <c r="H43" s="1"/>
  <c r="E43"/>
  <c r="I43" s="1"/>
  <c r="J43" s="1"/>
  <c r="D43"/>
  <c r="G42"/>
  <c r="H42" s="1"/>
  <c r="F42"/>
  <c r="I42" s="1"/>
  <c r="J42" s="1"/>
  <c r="I41"/>
  <c r="J41" s="1"/>
  <c r="H41"/>
  <c r="G41"/>
  <c r="F41"/>
  <c r="F40"/>
  <c r="G40" s="1"/>
  <c r="F39"/>
  <c r="G39" s="1"/>
  <c r="H39" s="1"/>
  <c r="G38"/>
  <c r="H38" s="1"/>
  <c r="F38"/>
  <c r="I38" s="1"/>
  <c r="J38" s="1"/>
  <c r="I37"/>
  <c r="J37" s="1"/>
  <c r="H37"/>
  <c r="G37"/>
  <c r="F37"/>
  <c r="G35"/>
  <c r="E35"/>
  <c r="D35"/>
  <c r="D34"/>
  <c r="G33"/>
  <c r="E33"/>
  <c r="I33" s="1"/>
  <c r="J33" s="1"/>
  <c r="F31"/>
  <c r="G31" s="1"/>
  <c r="H31" s="1"/>
  <c r="G30"/>
  <c r="H30" s="1"/>
  <c r="F30"/>
  <c r="I30" s="1"/>
  <c r="J30" s="1"/>
  <c r="D30"/>
  <c r="F29"/>
  <c r="G29" s="1"/>
  <c r="F28"/>
  <c r="G28" s="1"/>
  <c r="H28" s="1"/>
  <c r="D28"/>
  <c r="I27"/>
  <c r="J27" s="1"/>
  <c r="H27"/>
  <c r="G27"/>
  <c r="F27"/>
  <c r="F26"/>
  <c r="G26" s="1"/>
  <c r="F25"/>
  <c r="G25" s="1"/>
  <c r="H25" s="1"/>
  <c r="G24"/>
  <c r="H24" s="1"/>
  <c r="F24"/>
  <c r="I24" s="1"/>
  <c r="J24" s="1"/>
  <c r="I23"/>
  <c r="J23" s="1"/>
  <c r="H23"/>
  <c r="G23"/>
  <c r="F23"/>
  <c r="F22"/>
  <c r="G22" s="1"/>
  <c r="F21"/>
  <c r="G21" s="1"/>
  <c r="H21" s="1"/>
  <c r="G20"/>
  <c r="H20" s="1"/>
  <c r="F20"/>
  <c r="I20" s="1"/>
  <c r="J20" s="1"/>
  <c r="I19"/>
  <c r="J19" s="1"/>
  <c r="H19"/>
  <c r="G19"/>
  <c r="F19"/>
  <c r="F18"/>
  <c r="G18" s="1"/>
  <c r="F17"/>
  <c r="G17" s="1"/>
  <c r="H17" s="1"/>
  <c r="D17"/>
  <c r="D16"/>
  <c r="F16" s="1"/>
  <c r="G15"/>
  <c r="H15" s="1"/>
  <c r="F15"/>
  <c r="G13"/>
  <c r="H13" s="1"/>
  <c r="F13"/>
  <c r="I13" s="1"/>
  <c r="J13" s="1"/>
  <c r="I12"/>
  <c r="J12" s="1"/>
  <c r="H12"/>
  <c r="G12"/>
  <c r="F12"/>
  <c r="F11"/>
  <c r="G11" s="1"/>
  <c r="F10"/>
  <c r="G10" s="1"/>
  <c r="H10" s="1"/>
  <c r="G9"/>
  <c r="H9" s="1"/>
  <c r="E9"/>
  <c r="I9" s="1"/>
  <c r="J9" s="1"/>
  <c r="D9"/>
  <c r="F9" s="1"/>
  <c r="F8"/>
  <c r="E8"/>
  <c r="G153" i="84"/>
  <c r="I644"/>
  <c r="I573"/>
  <c r="I414"/>
  <c r="F24" i="71"/>
  <c r="F19"/>
  <c r="E27"/>
  <c r="I99" i="86" l="1"/>
  <c r="J99" s="1"/>
  <c r="I162"/>
  <c r="J162" s="1"/>
  <c r="F184"/>
  <c r="F431"/>
  <c r="I545"/>
  <c r="J545" s="1"/>
  <c r="I618"/>
  <c r="J618" s="1"/>
  <c r="E643"/>
  <c r="F658"/>
  <c r="H33"/>
  <c r="I52"/>
  <c r="J52" s="1"/>
  <c r="I66"/>
  <c r="J66" s="1"/>
  <c r="I108"/>
  <c r="J108" s="1"/>
  <c r="F118"/>
  <c r="I212"/>
  <c r="J212" s="1"/>
  <c r="I274"/>
  <c r="J274" s="1"/>
  <c r="F360"/>
  <c r="G514"/>
  <c r="H514" s="1"/>
  <c r="I605"/>
  <c r="J605" s="1"/>
  <c r="H618"/>
  <c r="H658"/>
  <c r="I35"/>
  <c r="J35" s="1"/>
  <c r="F43"/>
  <c r="E118"/>
  <c r="I136"/>
  <c r="I251"/>
  <c r="J251" s="1"/>
  <c r="H274"/>
  <c r="I298"/>
  <c r="J298" s="1"/>
  <c r="F322"/>
  <c r="F344"/>
  <c r="H605"/>
  <c r="H643"/>
  <c r="F87"/>
  <c r="F99"/>
  <c r="F135"/>
  <c r="F298"/>
  <c r="I345"/>
  <c r="I396"/>
  <c r="J396" s="1"/>
  <c r="I16"/>
  <c r="J16" s="1"/>
  <c r="G16"/>
  <c r="H16" s="1"/>
  <c r="H89"/>
  <c r="I89"/>
  <c r="J89" s="1"/>
  <c r="H101"/>
  <c r="I101"/>
  <c r="J101" s="1"/>
  <c r="H122"/>
  <c r="I122"/>
  <c r="J122" s="1"/>
  <c r="I26"/>
  <c r="J26" s="1"/>
  <c r="H26"/>
  <c r="I54"/>
  <c r="J54" s="1"/>
  <c r="H54"/>
  <c r="I160"/>
  <c r="J160" s="1"/>
  <c r="H160"/>
  <c r="H84"/>
  <c r="I84"/>
  <c r="J84" s="1"/>
  <c r="I112"/>
  <c r="J112" s="1"/>
  <c r="H112"/>
  <c r="H117"/>
  <c r="I117"/>
  <c r="J117" s="1"/>
  <c r="H139"/>
  <c r="I139"/>
  <c r="J139" s="1"/>
  <c r="I143"/>
  <c r="J143" s="1"/>
  <c r="H143"/>
  <c r="H147"/>
  <c r="I147"/>
  <c r="J147" s="1"/>
  <c r="I151"/>
  <c r="J151" s="1"/>
  <c r="H151"/>
  <c r="I167"/>
  <c r="J167" s="1"/>
  <c r="H167"/>
  <c r="I175"/>
  <c r="J175" s="1"/>
  <c r="H175"/>
  <c r="I179"/>
  <c r="J179" s="1"/>
  <c r="H179"/>
  <c r="I183"/>
  <c r="J183" s="1"/>
  <c r="H183"/>
  <c r="J87"/>
  <c r="I86"/>
  <c r="J86" s="1"/>
  <c r="J119"/>
  <c r="I118"/>
  <c r="J118" s="1"/>
  <c r="I40"/>
  <c r="J40" s="1"/>
  <c r="H40"/>
  <c r="I93"/>
  <c r="J93" s="1"/>
  <c r="H93"/>
  <c r="H126"/>
  <c r="I126"/>
  <c r="J126" s="1"/>
  <c r="I130"/>
  <c r="J130" s="1"/>
  <c r="H130"/>
  <c r="I134"/>
  <c r="J134" s="1"/>
  <c r="H134"/>
  <c r="I18"/>
  <c r="J18" s="1"/>
  <c r="H18"/>
  <c r="H58"/>
  <c r="I58"/>
  <c r="J58" s="1"/>
  <c r="J136"/>
  <c r="I135"/>
  <c r="J135" s="1"/>
  <c r="I156"/>
  <c r="J156" s="1"/>
  <c r="H156"/>
  <c r="I194"/>
  <c r="J194" s="1"/>
  <c r="H194"/>
  <c r="I198"/>
  <c r="J198" s="1"/>
  <c r="H198"/>
  <c r="I202"/>
  <c r="J202" s="1"/>
  <c r="H202"/>
  <c r="I97"/>
  <c r="J97" s="1"/>
  <c r="H97"/>
  <c r="I105"/>
  <c r="J105" s="1"/>
  <c r="H105"/>
  <c r="J153"/>
  <c r="I152"/>
  <c r="I187"/>
  <c r="J187" s="1"/>
  <c r="H187"/>
  <c r="I11"/>
  <c r="J11" s="1"/>
  <c r="H11"/>
  <c r="H22"/>
  <c r="I22"/>
  <c r="J22" s="1"/>
  <c r="I62"/>
  <c r="J62" s="1"/>
  <c r="H62"/>
  <c r="I69"/>
  <c r="J69" s="1"/>
  <c r="H69"/>
  <c r="H73"/>
  <c r="I73"/>
  <c r="J73" s="1"/>
  <c r="I29"/>
  <c r="J29" s="1"/>
  <c r="H29"/>
  <c r="I47"/>
  <c r="J47" s="1"/>
  <c r="H47"/>
  <c r="I51"/>
  <c r="J51" s="1"/>
  <c r="H51"/>
  <c r="I80"/>
  <c r="J80" s="1"/>
  <c r="H80"/>
  <c r="I171"/>
  <c r="J171" s="1"/>
  <c r="H171"/>
  <c r="G301"/>
  <c r="H301" s="1"/>
  <c r="I301"/>
  <c r="J301" s="1"/>
  <c r="G305"/>
  <c r="H305" s="1"/>
  <c r="I305"/>
  <c r="J305" s="1"/>
  <c r="G309"/>
  <c r="H309" s="1"/>
  <c r="I309"/>
  <c r="J309" s="1"/>
  <c r="G313"/>
  <c r="H313" s="1"/>
  <c r="I313"/>
  <c r="J313" s="1"/>
  <c r="G317"/>
  <c r="H317" s="1"/>
  <c r="I317"/>
  <c r="J317" s="1"/>
  <c r="G321"/>
  <c r="H321" s="1"/>
  <c r="I321"/>
  <c r="J321" s="1"/>
  <c r="G325"/>
  <c r="H325" s="1"/>
  <c r="I325"/>
  <c r="J325" s="1"/>
  <c r="G329"/>
  <c r="H329" s="1"/>
  <c r="I329"/>
  <c r="J329" s="1"/>
  <c r="H343"/>
  <c r="I343"/>
  <c r="J343" s="1"/>
  <c r="H358"/>
  <c r="I358"/>
  <c r="J358" s="1"/>
  <c r="J360"/>
  <c r="H369"/>
  <c r="I369"/>
  <c r="J369" s="1"/>
  <c r="I372"/>
  <c r="J372" s="1"/>
  <c r="H372"/>
  <c r="H383"/>
  <c r="I383"/>
  <c r="J383" s="1"/>
  <c r="I386"/>
  <c r="J386" s="1"/>
  <c r="H386"/>
  <c r="H402"/>
  <c r="I402"/>
  <c r="J402" s="1"/>
  <c r="I10"/>
  <c r="J10" s="1"/>
  <c r="I21"/>
  <c r="J21" s="1"/>
  <c r="I31"/>
  <c r="J31" s="1"/>
  <c r="G34"/>
  <c r="H35"/>
  <c r="I39"/>
  <c r="J39" s="1"/>
  <c r="I46"/>
  <c r="J46" s="1"/>
  <c r="I50"/>
  <c r="J50" s="1"/>
  <c r="I57"/>
  <c r="J57" s="1"/>
  <c r="I61"/>
  <c r="J61" s="1"/>
  <c r="I65"/>
  <c r="J65" s="1"/>
  <c r="I68"/>
  <c r="J68" s="1"/>
  <c r="I72"/>
  <c r="J72" s="1"/>
  <c r="H75"/>
  <c r="I79"/>
  <c r="J79" s="1"/>
  <c r="I83"/>
  <c r="J83" s="1"/>
  <c r="D86"/>
  <c r="F86" s="1"/>
  <c r="I92"/>
  <c r="J92" s="1"/>
  <c r="I96"/>
  <c r="J96" s="1"/>
  <c r="I104"/>
  <c r="J104" s="1"/>
  <c r="I111"/>
  <c r="J111" s="1"/>
  <c r="I116"/>
  <c r="J116" s="1"/>
  <c r="F119"/>
  <c r="I121"/>
  <c r="J121" s="1"/>
  <c r="I125"/>
  <c r="J125" s="1"/>
  <c r="I129"/>
  <c r="J129" s="1"/>
  <c r="I133"/>
  <c r="J133" s="1"/>
  <c r="F136"/>
  <c r="I138"/>
  <c r="J138" s="1"/>
  <c r="I142"/>
  <c r="J142" s="1"/>
  <c r="I146"/>
  <c r="J146" s="1"/>
  <c r="I150"/>
  <c r="J150" s="1"/>
  <c r="E152"/>
  <c r="F152" s="1"/>
  <c r="F153"/>
  <c r="I155"/>
  <c r="J155" s="1"/>
  <c r="I159"/>
  <c r="J159" s="1"/>
  <c r="H162"/>
  <c r="I166"/>
  <c r="J166" s="1"/>
  <c r="I170"/>
  <c r="J170" s="1"/>
  <c r="I174"/>
  <c r="J174" s="1"/>
  <c r="I178"/>
  <c r="J178" s="1"/>
  <c r="I182"/>
  <c r="J182" s="1"/>
  <c r="I186"/>
  <c r="J186" s="1"/>
  <c r="H189"/>
  <c r="I193"/>
  <c r="J193" s="1"/>
  <c r="I197"/>
  <c r="J197" s="1"/>
  <c r="I201"/>
  <c r="J201" s="1"/>
  <c r="D211"/>
  <c r="I214"/>
  <c r="J214" s="1"/>
  <c r="I215"/>
  <c r="J215" s="1"/>
  <c r="I218"/>
  <c r="J218" s="1"/>
  <c r="I219"/>
  <c r="J219" s="1"/>
  <c r="I222"/>
  <c r="J222" s="1"/>
  <c r="I223"/>
  <c r="J223" s="1"/>
  <c r="I226"/>
  <c r="J226" s="1"/>
  <c r="I227"/>
  <c r="J227" s="1"/>
  <c r="I230"/>
  <c r="J230" s="1"/>
  <c r="I234"/>
  <c r="J234" s="1"/>
  <c r="I236"/>
  <c r="J236" s="1"/>
  <c r="I238"/>
  <c r="J238" s="1"/>
  <c r="I240"/>
  <c r="J240" s="1"/>
  <c r="I242"/>
  <c r="J242" s="1"/>
  <c r="I244"/>
  <c r="J244" s="1"/>
  <c r="I246"/>
  <c r="J246" s="1"/>
  <c r="I248"/>
  <c r="J248" s="1"/>
  <c r="I250"/>
  <c r="J250" s="1"/>
  <c r="H251"/>
  <c r="H300"/>
  <c r="I300"/>
  <c r="J300" s="1"/>
  <c r="H304"/>
  <c r="I304"/>
  <c r="J304" s="1"/>
  <c r="H308"/>
  <c r="I308"/>
  <c r="J308" s="1"/>
  <c r="H312"/>
  <c r="I312"/>
  <c r="J312" s="1"/>
  <c r="H316"/>
  <c r="I316"/>
  <c r="J316" s="1"/>
  <c r="H320"/>
  <c r="I320"/>
  <c r="J320" s="1"/>
  <c r="H324"/>
  <c r="I324"/>
  <c r="J324" s="1"/>
  <c r="H328"/>
  <c r="I328"/>
  <c r="J328" s="1"/>
  <c r="H339"/>
  <c r="I339"/>
  <c r="J339" s="1"/>
  <c r="I342"/>
  <c r="J342" s="1"/>
  <c r="H342"/>
  <c r="H354"/>
  <c r="I354"/>
  <c r="J354" s="1"/>
  <c r="I357"/>
  <c r="J357" s="1"/>
  <c r="H357"/>
  <c r="H365"/>
  <c r="I365"/>
  <c r="J365" s="1"/>
  <c r="I368"/>
  <c r="J368" s="1"/>
  <c r="H368"/>
  <c r="I382"/>
  <c r="J382" s="1"/>
  <c r="H382"/>
  <c r="H395"/>
  <c r="I395"/>
  <c r="J395" s="1"/>
  <c r="H398"/>
  <c r="I398"/>
  <c r="J398" s="1"/>
  <c r="I401"/>
  <c r="J401" s="1"/>
  <c r="H401"/>
  <c r="I75"/>
  <c r="J75" s="1"/>
  <c r="I15"/>
  <c r="J15" s="1"/>
  <c r="I17"/>
  <c r="J17" s="1"/>
  <c r="I25"/>
  <c r="J25" s="1"/>
  <c r="I28"/>
  <c r="J28" s="1"/>
  <c r="F34"/>
  <c r="G86"/>
  <c r="H86" s="1"/>
  <c r="I204"/>
  <c r="J204" s="1"/>
  <c r="I208"/>
  <c r="J208" s="1"/>
  <c r="E211"/>
  <c r="H211" s="1"/>
  <c r="I231"/>
  <c r="J231" s="1"/>
  <c r="H235"/>
  <c r="H239"/>
  <c r="H243"/>
  <c r="H247"/>
  <c r="I302"/>
  <c r="J302" s="1"/>
  <c r="I306"/>
  <c r="J306" s="1"/>
  <c r="I310"/>
  <c r="J310" s="1"/>
  <c r="I314"/>
  <c r="J314" s="1"/>
  <c r="I318"/>
  <c r="J318" s="1"/>
  <c r="I326"/>
  <c r="J326" s="1"/>
  <c r="I330"/>
  <c r="J330" s="1"/>
  <c r="H335"/>
  <c r="I335"/>
  <c r="J335" s="1"/>
  <c r="I338"/>
  <c r="J338" s="1"/>
  <c r="H338"/>
  <c r="H350"/>
  <c r="I350"/>
  <c r="J350" s="1"/>
  <c r="I353"/>
  <c r="J353" s="1"/>
  <c r="H353"/>
  <c r="I364"/>
  <c r="J364" s="1"/>
  <c r="H364"/>
  <c r="H377"/>
  <c r="I377"/>
  <c r="J377" s="1"/>
  <c r="H391"/>
  <c r="I391"/>
  <c r="J391" s="1"/>
  <c r="I394"/>
  <c r="J394" s="1"/>
  <c r="H394"/>
  <c r="G8"/>
  <c r="E34"/>
  <c r="F35"/>
  <c r="G118"/>
  <c r="H118" s="1"/>
  <c r="G135"/>
  <c r="H135" s="1"/>
  <c r="G152"/>
  <c r="F162"/>
  <c r="F189"/>
  <c r="I211"/>
  <c r="I217"/>
  <c r="J217" s="1"/>
  <c r="I221"/>
  <c r="J221" s="1"/>
  <c r="I225"/>
  <c r="J225" s="1"/>
  <c r="I229"/>
  <c r="J229" s="1"/>
  <c r="I278"/>
  <c r="J278" s="1"/>
  <c r="I279"/>
  <c r="J279" s="1"/>
  <c r="I282"/>
  <c r="J282" s="1"/>
  <c r="I283"/>
  <c r="J283" s="1"/>
  <c r="I286"/>
  <c r="J286" s="1"/>
  <c r="I290"/>
  <c r="J290" s="1"/>
  <c r="I294"/>
  <c r="J294" s="1"/>
  <c r="I334"/>
  <c r="J334" s="1"/>
  <c r="H334"/>
  <c r="I349"/>
  <c r="J349" s="1"/>
  <c r="H349"/>
  <c r="H373"/>
  <c r="I373"/>
  <c r="J373" s="1"/>
  <c r="I376"/>
  <c r="J376" s="1"/>
  <c r="H376"/>
  <c r="H387"/>
  <c r="I387"/>
  <c r="J387" s="1"/>
  <c r="I390"/>
  <c r="J390" s="1"/>
  <c r="H390"/>
  <c r="I255"/>
  <c r="J255" s="1"/>
  <c r="I259"/>
  <c r="J259" s="1"/>
  <c r="I263"/>
  <c r="J263" s="1"/>
  <c r="I267"/>
  <c r="J267" s="1"/>
  <c r="I271"/>
  <c r="J271" s="1"/>
  <c r="I512"/>
  <c r="J512" s="1"/>
  <c r="G512"/>
  <c r="H512" s="1"/>
  <c r="I519"/>
  <c r="J519" s="1"/>
  <c r="G519"/>
  <c r="H519" s="1"/>
  <c r="I535"/>
  <c r="J535" s="1"/>
  <c r="G535"/>
  <c r="H535" s="1"/>
  <c r="I558"/>
  <c r="J558" s="1"/>
  <c r="G558"/>
  <c r="H558" s="1"/>
  <c r="H571"/>
  <c r="I571"/>
  <c r="J571" s="1"/>
  <c r="H584"/>
  <c r="I584"/>
  <c r="J584" s="1"/>
  <c r="H600"/>
  <c r="I600"/>
  <c r="J600" s="1"/>
  <c r="H622"/>
  <c r="I622"/>
  <c r="J622" s="1"/>
  <c r="H638"/>
  <c r="I638"/>
  <c r="J638" s="1"/>
  <c r="H647"/>
  <c r="I647"/>
  <c r="J647" s="1"/>
  <c r="I333"/>
  <c r="J333" s="1"/>
  <c r="I337"/>
  <c r="J337" s="1"/>
  <c r="I341"/>
  <c r="J341" s="1"/>
  <c r="I348"/>
  <c r="J348" s="1"/>
  <c r="I352"/>
  <c r="J352" s="1"/>
  <c r="I356"/>
  <c r="J356" s="1"/>
  <c r="I363"/>
  <c r="J363" s="1"/>
  <c r="I367"/>
  <c r="J367" s="1"/>
  <c r="I371"/>
  <c r="J371" s="1"/>
  <c r="I375"/>
  <c r="J375" s="1"/>
  <c r="I381"/>
  <c r="J381" s="1"/>
  <c r="I385"/>
  <c r="J385" s="1"/>
  <c r="I389"/>
  <c r="J389" s="1"/>
  <c r="I393"/>
  <c r="J393" s="1"/>
  <c r="I400"/>
  <c r="J400" s="1"/>
  <c r="I403"/>
  <c r="J403" s="1"/>
  <c r="I425"/>
  <c r="J425" s="1"/>
  <c r="I430"/>
  <c r="J430" s="1"/>
  <c r="I431"/>
  <c r="J431" s="1"/>
  <c r="I437"/>
  <c r="J437" s="1"/>
  <c r="I438"/>
  <c r="J438" s="1"/>
  <c r="I448"/>
  <c r="J448" s="1"/>
  <c r="I451"/>
  <c r="J451" s="1"/>
  <c r="I456"/>
  <c r="J456" s="1"/>
  <c r="I457"/>
  <c r="J457" s="1"/>
  <c r="I467"/>
  <c r="J467" s="1"/>
  <c r="I471"/>
  <c r="J471" s="1"/>
  <c r="I472"/>
  <c r="J472" s="1"/>
  <c r="I474"/>
  <c r="J474" s="1"/>
  <c r="I475"/>
  <c r="J475" s="1"/>
  <c r="I476"/>
  <c r="J476" s="1"/>
  <c r="I478"/>
  <c r="J478" s="1"/>
  <c r="I479"/>
  <c r="J479" s="1"/>
  <c r="I480"/>
  <c r="J480" s="1"/>
  <c r="I482"/>
  <c r="J482" s="1"/>
  <c r="I483"/>
  <c r="J483" s="1"/>
  <c r="I484"/>
  <c r="J484" s="1"/>
  <c r="I486"/>
  <c r="J486" s="1"/>
  <c r="I487"/>
  <c r="J487" s="1"/>
  <c r="I488"/>
  <c r="J488" s="1"/>
  <c r="F490"/>
  <c r="I491"/>
  <c r="I493"/>
  <c r="J493" s="1"/>
  <c r="I495"/>
  <c r="J495" s="1"/>
  <c r="I496"/>
  <c r="J496" s="1"/>
  <c r="I497"/>
  <c r="J497" s="1"/>
  <c r="I499"/>
  <c r="J499" s="1"/>
  <c r="I500"/>
  <c r="J500" s="1"/>
  <c r="I501"/>
  <c r="J501" s="1"/>
  <c r="I503"/>
  <c r="J503" s="1"/>
  <c r="I524"/>
  <c r="J524" s="1"/>
  <c r="I526"/>
  <c r="J526" s="1"/>
  <c r="I540"/>
  <c r="J540" s="1"/>
  <c r="I542"/>
  <c r="J542" s="1"/>
  <c r="I547"/>
  <c r="J547" s="1"/>
  <c r="I549"/>
  <c r="J549" s="1"/>
  <c r="F604"/>
  <c r="I613"/>
  <c r="J613" s="1"/>
  <c r="G508"/>
  <c r="H508" s="1"/>
  <c r="G531"/>
  <c r="H531" s="1"/>
  <c r="G554"/>
  <c r="H554" s="1"/>
  <c r="H588"/>
  <c r="I588"/>
  <c r="J588" s="1"/>
  <c r="H626"/>
  <c r="I626"/>
  <c r="J626" s="1"/>
  <c r="H642"/>
  <c r="I642"/>
  <c r="J642" s="1"/>
  <c r="H651"/>
  <c r="I651"/>
  <c r="J651" s="1"/>
  <c r="I332"/>
  <c r="J332" s="1"/>
  <c r="I336"/>
  <c r="J336" s="1"/>
  <c r="I340"/>
  <c r="J340" s="1"/>
  <c r="G344"/>
  <c r="H344" s="1"/>
  <c r="I347"/>
  <c r="J347" s="1"/>
  <c r="I351"/>
  <c r="J351" s="1"/>
  <c r="I355"/>
  <c r="J355" s="1"/>
  <c r="I359"/>
  <c r="J359" s="1"/>
  <c r="I362"/>
  <c r="J362" s="1"/>
  <c r="I366"/>
  <c r="J366" s="1"/>
  <c r="I370"/>
  <c r="J370" s="1"/>
  <c r="I374"/>
  <c r="J374" s="1"/>
  <c r="I378"/>
  <c r="J378" s="1"/>
  <c r="I384"/>
  <c r="J384" s="1"/>
  <c r="I388"/>
  <c r="J388" s="1"/>
  <c r="I392"/>
  <c r="J392" s="1"/>
  <c r="I399"/>
  <c r="J399" s="1"/>
  <c r="I426"/>
  <c r="J426" s="1"/>
  <c r="I427"/>
  <c r="J427" s="1"/>
  <c r="I433"/>
  <c r="J433" s="1"/>
  <c r="I434"/>
  <c r="J434" s="1"/>
  <c r="I452"/>
  <c r="J452" s="1"/>
  <c r="I453"/>
  <c r="J453" s="1"/>
  <c r="H477"/>
  <c r="H481"/>
  <c r="H485"/>
  <c r="H489"/>
  <c r="H491"/>
  <c r="H494"/>
  <c r="H498"/>
  <c r="H502"/>
  <c r="I513"/>
  <c r="J513" s="1"/>
  <c r="I520"/>
  <c r="J520" s="1"/>
  <c r="I536"/>
  <c r="J536" s="1"/>
  <c r="I559"/>
  <c r="J559" s="1"/>
  <c r="I570"/>
  <c r="J570" s="1"/>
  <c r="H604"/>
  <c r="I637"/>
  <c r="J637" s="1"/>
  <c r="G504"/>
  <c r="H504" s="1"/>
  <c r="I514"/>
  <c r="J514" s="1"/>
  <c r="J515"/>
  <c r="G527"/>
  <c r="H527" s="1"/>
  <c r="G543"/>
  <c r="H543" s="1"/>
  <c r="G550"/>
  <c r="H550" s="1"/>
  <c r="H563"/>
  <c r="I563"/>
  <c r="J563" s="1"/>
  <c r="H576"/>
  <c r="I576"/>
  <c r="J576" s="1"/>
  <c r="H592"/>
  <c r="I592"/>
  <c r="J592" s="1"/>
  <c r="H610"/>
  <c r="I610"/>
  <c r="J610" s="1"/>
  <c r="H630"/>
  <c r="I630"/>
  <c r="J630" s="1"/>
  <c r="H655"/>
  <c r="I655"/>
  <c r="J655" s="1"/>
  <c r="F396"/>
  <c r="I422"/>
  <c r="J422" s="1"/>
  <c r="I423"/>
  <c r="J423" s="1"/>
  <c r="I445"/>
  <c r="J445" s="1"/>
  <c r="I446"/>
  <c r="J446" s="1"/>
  <c r="I464"/>
  <c r="J464" s="1"/>
  <c r="I465"/>
  <c r="J465" s="1"/>
  <c r="I587"/>
  <c r="J587" s="1"/>
  <c r="I603"/>
  <c r="J603" s="1"/>
  <c r="I625"/>
  <c r="J625" s="1"/>
  <c r="H469"/>
  <c r="I469"/>
  <c r="G468"/>
  <c r="H468" s="1"/>
  <c r="G523"/>
  <c r="H523" s="1"/>
  <c r="G539"/>
  <c r="H539" s="1"/>
  <c r="G562"/>
  <c r="H562" s="1"/>
  <c r="H567"/>
  <c r="I567"/>
  <c r="J567" s="1"/>
  <c r="H580"/>
  <c r="I580"/>
  <c r="J580" s="1"/>
  <c r="H596"/>
  <c r="I596"/>
  <c r="J596" s="1"/>
  <c r="H614"/>
  <c r="I614"/>
  <c r="J614" s="1"/>
  <c r="H634"/>
  <c r="I634"/>
  <c r="J634" s="1"/>
  <c r="I643"/>
  <c r="J643" s="1"/>
  <c r="J658"/>
  <c r="H666"/>
  <c r="I666"/>
  <c r="J666" s="1"/>
  <c r="I407"/>
  <c r="J407" s="1"/>
  <c r="I411"/>
  <c r="J411" s="1"/>
  <c r="I418"/>
  <c r="J418" s="1"/>
  <c r="I441"/>
  <c r="J441" s="1"/>
  <c r="I460"/>
  <c r="J460" s="1"/>
  <c r="I507"/>
  <c r="J507" s="1"/>
  <c r="I530"/>
  <c r="J530" s="1"/>
  <c r="I553"/>
  <c r="J553" s="1"/>
  <c r="I591"/>
  <c r="J591" s="1"/>
  <c r="I629"/>
  <c r="J629" s="1"/>
  <c r="I654"/>
  <c r="J654" s="1"/>
  <c r="G490"/>
  <c r="H490" s="1"/>
  <c r="I604"/>
  <c r="J604" s="1"/>
  <c r="F605"/>
  <c r="D643"/>
  <c r="F643" s="1"/>
  <c r="G566"/>
  <c r="H566" s="1"/>
  <c r="G570"/>
  <c r="H570" s="1"/>
  <c r="G575"/>
  <c r="H575" s="1"/>
  <c r="G579"/>
  <c r="H579" s="1"/>
  <c r="G583"/>
  <c r="H583" s="1"/>
  <c r="G587"/>
  <c r="H587" s="1"/>
  <c r="G591"/>
  <c r="H591" s="1"/>
  <c r="G595"/>
  <c r="H595" s="1"/>
  <c r="G599"/>
  <c r="H599" s="1"/>
  <c r="G603"/>
  <c r="H603" s="1"/>
  <c r="G609"/>
  <c r="H609" s="1"/>
  <c r="G613"/>
  <c r="H613" s="1"/>
  <c r="G617"/>
  <c r="H617" s="1"/>
  <c r="G621"/>
  <c r="H621" s="1"/>
  <c r="G625"/>
  <c r="H625" s="1"/>
  <c r="G629"/>
  <c r="H629" s="1"/>
  <c r="G633"/>
  <c r="H633" s="1"/>
  <c r="G637"/>
  <c r="H637" s="1"/>
  <c r="G641"/>
  <c r="H641" s="1"/>
  <c r="G646"/>
  <c r="H646" s="1"/>
  <c r="G650"/>
  <c r="H650" s="1"/>
  <c r="G654"/>
  <c r="H654" s="1"/>
  <c r="G661"/>
  <c r="H661" s="1"/>
  <c r="G665"/>
  <c r="H665" s="1"/>
  <c r="G669"/>
  <c r="H669" s="1"/>
  <c r="H669" i="84"/>
  <c r="H665"/>
  <c r="H661"/>
  <c r="H614"/>
  <c r="H610"/>
  <c r="H603"/>
  <c r="H599"/>
  <c r="H595"/>
  <c r="H591"/>
  <c r="H587"/>
  <c r="H583"/>
  <c r="H579"/>
  <c r="H575"/>
  <c r="H523"/>
  <c r="H512"/>
  <c r="H508"/>
  <c r="H504"/>
  <c r="H500"/>
  <c r="H496"/>
  <c r="H489"/>
  <c r="H485"/>
  <c r="H481"/>
  <c r="H477"/>
  <c r="H473"/>
  <c r="H466"/>
  <c r="H448"/>
  <c r="H430"/>
  <c r="H412"/>
  <c r="H408"/>
  <c r="H404"/>
  <c r="H400"/>
  <c r="H358"/>
  <c r="H343"/>
  <c r="H321"/>
  <c r="H305"/>
  <c r="H287"/>
  <c r="H217"/>
  <c r="H182"/>
  <c r="H178"/>
  <c r="H174"/>
  <c r="H170"/>
  <c r="H166"/>
  <c r="H149"/>
  <c r="H145"/>
  <c r="H141"/>
  <c r="H134"/>
  <c r="H130"/>
  <c r="H126"/>
  <c r="H122"/>
  <c r="H107"/>
  <c r="H103"/>
  <c r="H97"/>
  <c r="H93"/>
  <c r="H89"/>
  <c r="H62"/>
  <c r="H58"/>
  <c r="H54"/>
  <c r="F672"/>
  <c r="G672" s="1"/>
  <c r="F671"/>
  <c r="G671" s="1"/>
  <c r="I671" s="1"/>
  <c r="J671" s="1"/>
  <c r="F670"/>
  <c r="G670" s="1"/>
  <c r="I670" s="1"/>
  <c r="J670" s="1"/>
  <c r="F669"/>
  <c r="G669" s="1"/>
  <c r="I669" s="1"/>
  <c r="J669" s="1"/>
  <c r="F668"/>
  <c r="G668" s="1"/>
  <c r="F667"/>
  <c r="G667" s="1"/>
  <c r="I667" s="1"/>
  <c r="J667" s="1"/>
  <c r="F666"/>
  <c r="G666" s="1"/>
  <c r="I666" s="1"/>
  <c r="J666" s="1"/>
  <c r="F665"/>
  <c r="G665" s="1"/>
  <c r="I665" s="1"/>
  <c r="J665" s="1"/>
  <c r="F664"/>
  <c r="G664" s="1"/>
  <c r="F663"/>
  <c r="G663" s="1"/>
  <c r="I663" s="1"/>
  <c r="J663" s="1"/>
  <c r="F662"/>
  <c r="G662" s="1"/>
  <c r="I662" s="1"/>
  <c r="J662" s="1"/>
  <c r="F661"/>
  <c r="G661" s="1"/>
  <c r="F660"/>
  <c r="G660" s="1"/>
  <c r="H660" s="1"/>
  <c r="D658"/>
  <c r="F657"/>
  <c r="G657" s="1"/>
  <c r="I657" s="1"/>
  <c r="J657" s="1"/>
  <c r="F656"/>
  <c r="G656" s="1"/>
  <c r="H656" s="1"/>
  <c r="F655"/>
  <c r="G655" s="1"/>
  <c r="H655" s="1"/>
  <c r="F654"/>
  <c r="G654" s="1"/>
  <c r="H654" s="1"/>
  <c r="F653"/>
  <c r="G653" s="1"/>
  <c r="H653" s="1"/>
  <c r="F652"/>
  <c r="G652" s="1"/>
  <c r="H652" s="1"/>
  <c r="F651"/>
  <c r="G651" s="1"/>
  <c r="H651" s="1"/>
  <c r="F650"/>
  <c r="G650" s="1"/>
  <c r="H650" s="1"/>
  <c r="F649"/>
  <c r="G649" s="1"/>
  <c r="H649" s="1"/>
  <c r="F648"/>
  <c r="G648" s="1"/>
  <c r="H648" s="1"/>
  <c r="F647"/>
  <c r="G647" s="1"/>
  <c r="H647" s="1"/>
  <c r="F646"/>
  <c r="G646" s="1"/>
  <c r="H646" s="1"/>
  <c r="F644"/>
  <c r="D644"/>
  <c r="D643" s="1"/>
  <c r="G642"/>
  <c r="F642"/>
  <c r="G641"/>
  <c r="I641" s="1"/>
  <c r="J641" s="1"/>
  <c r="F641"/>
  <c r="G640"/>
  <c r="F640"/>
  <c r="G639"/>
  <c r="I639" s="1"/>
  <c r="J639" s="1"/>
  <c r="F639"/>
  <c r="G638"/>
  <c r="F638"/>
  <c r="G637"/>
  <c r="I637" s="1"/>
  <c r="J637" s="1"/>
  <c r="F637"/>
  <c r="G636"/>
  <c r="F636"/>
  <c r="G635"/>
  <c r="I635" s="1"/>
  <c r="J635" s="1"/>
  <c r="F635"/>
  <c r="G634"/>
  <c r="F634"/>
  <c r="G633"/>
  <c r="I633" s="1"/>
  <c r="J633" s="1"/>
  <c r="F633"/>
  <c r="G632"/>
  <c r="F632"/>
  <c r="G631"/>
  <c r="I631" s="1"/>
  <c r="J631" s="1"/>
  <c r="F631"/>
  <c r="G630"/>
  <c r="F630"/>
  <c r="G629"/>
  <c r="I629" s="1"/>
  <c r="J629" s="1"/>
  <c r="F629"/>
  <c r="G628"/>
  <c r="F628"/>
  <c r="G627"/>
  <c r="I627" s="1"/>
  <c r="J627" s="1"/>
  <c r="F627"/>
  <c r="G626"/>
  <c r="F626"/>
  <c r="G625"/>
  <c r="I625" s="1"/>
  <c r="J625" s="1"/>
  <c r="F625"/>
  <c r="G624"/>
  <c r="F624"/>
  <c r="G623"/>
  <c r="I623" s="1"/>
  <c r="J623" s="1"/>
  <c r="F623"/>
  <c r="G622"/>
  <c r="F622"/>
  <c r="G621"/>
  <c r="I621" s="1"/>
  <c r="J621" s="1"/>
  <c r="F621"/>
  <c r="G620"/>
  <c r="H620" s="1"/>
  <c r="F620"/>
  <c r="D618"/>
  <c r="F617"/>
  <c r="G617" s="1"/>
  <c r="H617" s="1"/>
  <c r="F616"/>
  <c r="G616" s="1"/>
  <c r="H616" s="1"/>
  <c r="F615"/>
  <c r="G615" s="1"/>
  <c r="H615" s="1"/>
  <c r="F614"/>
  <c r="G614" s="1"/>
  <c r="F613"/>
  <c r="G613" s="1"/>
  <c r="H613" s="1"/>
  <c r="F612"/>
  <c r="G612" s="1"/>
  <c r="H612" s="1"/>
  <c r="F611"/>
  <c r="G611" s="1"/>
  <c r="H611" s="1"/>
  <c r="F610"/>
  <c r="G610" s="1"/>
  <c r="F609"/>
  <c r="G609" s="1"/>
  <c r="H609" s="1"/>
  <c r="F608"/>
  <c r="G608" s="1"/>
  <c r="H608" s="1"/>
  <c r="F607"/>
  <c r="G607" s="1"/>
  <c r="H607" s="1"/>
  <c r="D605"/>
  <c r="D604" s="1"/>
  <c r="F603"/>
  <c r="G603" s="1"/>
  <c r="I603" s="1"/>
  <c r="J603" s="1"/>
  <c r="F602"/>
  <c r="G602" s="1"/>
  <c r="H602" s="1"/>
  <c r="F601"/>
  <c r="G601" s="1"/>
  <c r="H601" s="1"/>
  <c r="F600"/>
  <c r="G600" s="1"/>
  <c r="H600" s="1"/>
  <c r="F599"/>
  <c r="G599" s="1"/>
  <c r="F598"/>
  <c r="G598" s="1"/>
  <c r="H598" s="1"/>
  <c r="F597"/>
  <c r="G597" s="1"/>
  <c r="H597" s="1"/>
  <c r="F596"/>
  <c r="G596" s="1"/>
  <c r="H596" s="1"/>
  <c r="F595"/>
  <c r="G595" s="1"/>
  <c r="F594"/>
  <c r="G594" s="1"/>
  <c r="H594" s="1"/>
  <c r="F593"/>
  <c r="G593" s="1"/>
  <c r="H593" s="1"/>
  <c r="F592"/>
  <c r="G592" s="1"/>
  <c r="H592" s="1"/>
  <c r="F591"/>
  <c r="G591" s="1"/>
  <c r="F590"/>
  <c r="G590" s="1"/>
  <c r="H590" s="1"/>
  <c r="F589"/>
  <c r="G589" s="1"/>
  <c r="H589" s="1"/>
  <c r="F588"/>
  <c r="G588" s="1"/>
  <c r="H588" s="1"/>
  <c r="F587"/>
  <c r="G587" s="1"/>
  <c r="F586"/>
  <c r="G586" s="1"/>
  <c r="H586" s="1"/>
  <c r="F585"/>
  <c r="G585" s="1"/>
  <c r="H585" s="1"/>
  <c r="F584"/>
  <c r="G584" s="1"/>
  <c r="H584" s="1"/>
  <c r="F583"/>
  <c r="G583" s="1"/>
  <c r="F582"/>
  <c r="G582" s="1"/>
  <c r="H582" s="1"/>
  <c r="F581"/>
  <c r="G581" s="1"/>
  <c r="H581" s="1"/>
  <c r="F580"/>
  <c r="G580" s="1"/>
  <c r="H580" s="1"/>
  <c r="F579"/>
  <c r="G579" s="1"/>
  <c r="F578"/>
  <c r="G578" s="1"/>
  <c r="H578" s="1"/>
  <c r="F577"/>
  <c r="G577" s="1"/>
  <c r="H577" s="1"/>
  <c r="F576"/>
  <c r="G576" s="1"/>
  <c r="H576" s="1"/>
  <c r="F575"/>
  <c r="G575" s="1"/>
  <c r="D573"/>
  <c r="F573" s="1"/>
  <c r="F572"/>
  <c r="G572" s="1"/>
  <c r="I572" s="1"/>
  <c r="J572" s="1"/>
  <c r="F571"/>
  <c r="G571" s="1"/>
  <c r="I571" s="1"/>
  <c r="J571" s="1"/>
  <c r="F570"/>
  <c r="G570" s="1"/>
  <c r="I570" s="1"/>
  <c r="J570" s="1"/>
  <c r="F569"/>
  <c r="G569" s="1"/>
  <c r="F568"/>
  <c r="G568" s="1"/>
  <c r="I568" s="1"/>
  <c r="J568" s="1"/>
  <c r="F567"/>
  <c r="G567" s="1"/>
  <c r="H567" s="1"/>
  <c r="F566"/>
  <c r="G566" s="1"/>
  <c r="H566" s="1"/>
  <c r="F565"/>
  <c r="G565" s="1"/>
  <c r="H565" s="1"/>
  <c r="F564"/>
  <c r="G564" s="1"/>
  <c r="H564" s="1"/>
  <c r="F563"/>
  <c r="G563" s="1"/>
  <c r="H563" s="1"/>
  <c r="F562"/>
  <c r="G562" s="1"/>
  <c r="H562" s="1"/>
  <c r="F561"/>
  <c r="G561" s="1"/>
  <c r="H561" s="1"/>
  <c r="F560"/>
  <c r="G560" s="1"/>
  <c r="H560" s="1"/>
  <c r="F559"/>
  <c r="G559" s="1"/>
  <c r="H559" s="1"/>
  <c r="F558"/>
  <c r="G558" s="1"/>
  <c r="H558" s="1"/>
  <c r="F557"/>
  <c r="G557" s="1"/>
  <c r="H557" s="1"/>
  <c r="F556"/>
  <c r="G556" s="1"/>
  <c r="H556" s="1"/>
  <c r="F555"/>
  <c r="G555" s="1"/>
  <c r="H555" s="1"/>
  <c r="F554"/>
  <c r="G554" s="1"/>
  <c r="H554" s="1"/>
  <c r="F553"/>
  <c r="G553" s="1"/>
  <c r="H553" s="1"/>
  <c r="F552"/>
  <c r="G552" s="1"/>
  <c r="H552" s="1"/>
  <c r="F551"/>
  <c r="G551" s="1"/>
  <c r="H551" s="1"/>
  <c r="F550"/>
  <c r="G550" s="1"/>
  <c r="H550" s="1"/>
  <c r="F549"/>
  <c r="G549" s="1"/>
  <c r="H549" s="1"/>
  <c r="F548"/>
  <c r="G548" s="1"/>
  <c r="H548" s="1"/>
  <c r="F547"/>
  <c r="G547" s="1"/>
  <c r="H547" s="1"/>
  <c r="D545"/>
  <c r="F544"/>
  <c r="G544" s="1"/>
  <c r="F543"/>
  <c r="G543" s="1"/>
  <c r="F542"/>
  <c r="G542" s="1"/>
  <c r="H542" s="1"/>
  <c r="F541"/>
  <c r="G541" s="1"/>
  <c r="H541" s="1"/>
  <c r="F540"/>
  <c r="G540" s="1"/>
  <c r="H540" s="1"/>
  <c r="F539"/>
  <c r="G539" s="1"/>
  <c r="H539" s="1"/>
  <c r="F538"/>
  <c r="G538" s="1"/>
  <c r="H538" s="1"/>
  <c r="F537"/>
  <c r="G537" s="1"/>
  <c r="H537" s="1"/>
  <c r="F536"/>
  <c r="G536" s="1"/>
  <c r="H536" s="1"/>
  <c r="F535"/>
  <c r="G535" s="1"/>
  <c r="H535" s="1"/>
  <c r="F534"/>
  <c r="G534" s="1"/>
  <c r="H534" s="1"/>
  <c r="F533"/>
  <c r="G533" s="1"/>
  <c r="H533" s="1"/>
  <c r="F532"/>
  <c r="G532" s="1"/>
  <c r="H532" s="1"/>
  <c r="F531"/>
  <c r="G531" s="1"/>
  <c r="H531" s="1"/>
  <c r="F530"/>
  <c r="G530" s="1"/>
  <c r="H530" s="1"/>
  <c r="F529"/>
  <c r="G529" s="1"/>
  <c r="H529" s="1"/>
  <c r="F528"/>
  <c r="G528" s="1"/>
  <c r="H528" s="1"/>
  <c r="F527"/>
  <c r="G527" s="1"/>
  <c r="H527" s="1"/>
  <c r="F526"/>
  <c r="G526" s="1"/>
  <c r="H526" s="1"/>
  <c r="F525"/>
  <c r="G525" s="1"/>
  <c r="H525" s="1"/>
  <c r="F524"/>
  <c r="G524" s="1"/>
  <c r="H524" s="1"/>
  <c r="F523"/>
  <c r="G523" s="1"/>
  <c r="F522"/>
  <c r="G522" s="1"/>
  <c r="H522" s="1"/>
  <c r="F521"/>
  <c r="G521" s="1"/>
  <c r="H521" s="1"/>
  <c r="F520"/>
  <c r="G520" s="1"/>
  <c r="H520" s="1"/>
  <c r="F519"/>
  <c r="G519" s="1"/>
  <c r="H519" s="1"/>
  <c r="F518"/>
  <c r="G518" s="1"/>
  <c r="H518" s="1"/>
  <c r="F517"/>
  <c r="G517" s="1"/>
  <c r="H517" s="1"/>
  <c r="F513"/>
  <c r="G513" s="1"/>
  <c r="I513" s="1"/>
  <c r="J513" s="1"/>
  <c r="F512"/>
  <c r="G512" s="1"/>
  <c r="I512" s="1"/>
  <c r="J512" s="1"/>
  <c r="F511"/>
  <c r="G511" s="1"/>
  <c r="F510"/>
  <c r="G510" s="1"/>
  <c r="I510" s="1"/>
  <c r="J510" s="1"/>
  <c r="F509"/>
  <c r="G509" s="1"/>
  <c r="I509" s="1"/>
  <c r="J509" s="1"/>
  <c r="F508"/>
  <c r="G508" s="1"/>
  <c r="I508" s="1"/>
  <c r="J508" s="1"/>
  <c r="F507"/>
  <c r="G507" s="1"/>
  <c r="F506"/>
  <c r="G506" s="1"/>
  <c r="I506" s="1"/>
  <c r="J506" s="1"/>
  <c r="F505"/>
  <c r="G505" s="1"/>
  <c r="I505" s="1"/>
  <c r="J505" s="1"/>
  <c r="F504"/>
  <c r="G504" s="1"/>
  <c r="I504" s="1"/>
  <c r="J504" s="1"/>
  <c r="F503"/>
  <c r="G503" s="1"/>
  <c r="F502"/>
  <c r="G502" s="1"/>
  <c r="I502" s="1"/>
  <c r="J502" s="1"/>
  <c r="F501"/>
  <c r="G501" s="1"/>
  <c r="I501" s="1"/>
  <c r="J501" s="1"/>
  <c r="F500"/>
  <c r="G500" s="1"/>
  <c r="I500" s="1"/>
  <c r="J500" s="1"/>
  <c r="F499"/>
  <c r="G499" s="1"/>
  <c r="F498"/>
  <c r="G498" s="1"/>
  <c r="I498" s="1"/>
  <c r="J498" s="1"/>
  <c r="F497"/>
  <c r="G497" s="1"/>
  <c r="I497" s="1"/>
  <c r="J497" s="1"/>
  <c r="F496"/>
  <c r="G496" s="1"/>
  <c r="I496" s="1"/>
  <c r="J496" s="1"/>
  <c r="F495"/>
  <c r="G495" s="1"/>
  <c r="F494"/>
  <c r="G494" s="1"/>
  <c r="H494" s="1"/>
  <c r="F493"/>
  <c r="G493" s="1"/>
  <c r="H493" s="1"/>
  <c r="D491"/>
  <c r="F489"/>
  <c r="G489" s="1"/>
  <c r="I489" s="1"/>
  <c r="J489" s="1"/>
  <c r="F488"/>
  <c r="G488" s="1"/>
  <c r="I488" s="1"/>
  <c r="J488" s="1"/>
  <c r="F487"/>
  <c r="G487" s="1"/>
  <c r="I487" s="1"/>
  <c r="J487" s="1"/>
  <c r="F486"/>
  <c r="G486" s="1"/>
  <c r="F485"/>
  <c r="G485" s="1"/>
  <c r="I485" s="1"/>
  <c r="J485" s="1"/>
  <c r="F484"/>
  <c r="G484" s="1"/>
  <c r="I484" s="1"/>
  <c r="J484" s="1"/>
  <c r="F483"/>
  <c r="G483" s="1"/>
  <c r="I483" s="1"/>
  <c r="J483" s="1"/>
  <c r="F482"/>
  <c r="G482" s="1"/>
  <c r="F481"/>
  <c r="G481" s="1"/>
  <c r="I481" s="1"/>
  <c r="J481" s="1"/>
  <c r="F480"/>
  <c r="G480" s="1"/>
  <c r="I480" s="1"/>
  <c r="J480" s="1"/>
  <c r="F479"/>
  <c r="G479" s="1"/>
  <c r="I479" s="1"/>
  <c r="J479" s="1"/>
  <c r="F478"/>
  <c r="G478" s="1"/>
  <c r="F477"/>
  <c r="G477" s="1"/>
  <c r="I477" s="1"/>
  <c r="J477" s="1"/>
  <c r="F476"/>
  <c r="G476" s="1"/>
  <c r="I476" s="1"/>
  <c r="J476" s="1"/>
  <c r="F475"/>
  <c r="G475" s="1"/>
  <c r="I475" s="1"/>
  <c r="J475" s="1"/>
  <c r="F474"/>
  <c r="G474" s="1"/>
  <c r="F473"/>
  <c r="G473" s="1"/>
  <c r="I473" s="1"/>
  <c r="J473" s="1"/>
  <c r="F472"/>
  <c r="G472" s="1"/>
  <c r="I472" s="1"/>
  <c r="J472" s="1"/>
  <c r="F471"/>
  <c r="G471" s="1"/>
  <c r="I471" s="1"/>
  <c r="J471" s="1"/>
  <c r="F469"/>
  <c r="D469"/>
  <c r="D468" s="1"/>
  <c r="E468"/>
  <c r="F467"/>
  <c r="G467" s="1"/>
  <c r="I467" s="1"/>
  <c r="J467" s="1"/>
  <c r="F466"/>
  <c r="G466" s="1"/>
  <c r="F465"/>
  <c r="G465" s="1"/>
  <c r="H465" s="1"/>
  <c r="F464"/>
  <c r="G464" s="1"/>
  <c r="H464" s="1"/>
  <c r="F463"/>
  <c r="G463" s="1"/>
  <c r="H463" s="1"/>
  <c r="F462"/>
  <c r="G462" s="1"/>
  <c r="H462" s="1"/>
  <c r="F461"/>
  <c r="G461" s="1"/>
  <c r="H461" s="1"/>
  <c r="F460"/>
  <c r="G460" s="1"/>
  <c r="H460" s="1"/>
  <c r="F459"/>
  <c r="G459" s="1"/>
  <c r="H459" s="1"/>
  <c r="F458"/>
  <c r="G458" s="1"/>
  <c r="H458" s="1"/>
  <c r="F457"/>
  <c r="G457" s="1"/>
  <c r="H457" s="1"/>
  <c r="F456"/>
  <c r="G456" s="1"/>
  <c r="H456" s="1"/>
  <c r="F455"/>
  <c r="G455" s="1"/>
  <c r="H455" s="1"/>
  <c r="F454"/>
  <c r="G454" s="1"/>
  <c r="H454" s="1"/>
  <c r="F453"/>
  <c r="G453" s="1"/>
  <c r="H453" s="1"/>
  <c r="F452"/>
  <c r="G452" s="1"/>
  <c r="H452" s="1"/>
  <c r="F451"/>
  <c r="G451" s="1"/>
  <c r="H451" s="1"/>
  <c r="D449"/>
  <c r="F448"/>
  <c r="G448" s="1"/>
  <c r="I448" s="1"/>
  <c r="J448" s="1"/>
  <c r="F447"/>
  <c r="G447" s="1"/>
  <c r="I447" s="1"/>
  <c r="J447" s="1"/>
  <c r="F446"/>
  <c r="G446" s="1"/>
  <c r="I446" s="1"/>
  <c r="J446" s="1"/>
  <c r="F445"/>
  <c r="G445" s="1"/>
  <c r="F444"/>
  <c r="F443"/>
  <c r="F442"/>
  <c r="F441"/>
  <c r="F440"/>
  <c r="F439"/>
  <c r="F438"/>
  <c r="F437"/>
  <c r="F436"/>
  <c r="F435"/>
  <c r="F434"/>
  <c r="F433"/>
  <c r="D431"/>
  <c r="F430"/>
  <c r="G430" s="1"/>
  <c r="I430" s="1"/>
  <c r="J430" s="1"/>
  <c r="F429"/>
  <c r="G429" s="1"/>
  <c r="F428"/>
  <c r="G428" s="1"/>
  <c r="F427"/>
  <c r="G427" s="1"/>
  <c r="F426"/>
  <c r="G426" s="1"/>
  <c r="I426" s="1"/>
  <c r="J426" s="1"/>
  <c r="F425"/>
  <c r="G425" s="1"/>
  <c r="F424"/>
  <c r="G424" s="1"/>
  <c r="F423"/>
  <c r="G423" s="1"/>
  <c r="F422"/>
  <c r="G422" s="1"/>
  <c r="I422" s="1"/>
  <c r="J422" s="1"/>
  <c r="F421"/>
  <c r="G421" s="1"/>
  <c r="F420"/>
  <c r="G420" s="1"/>
  <c r="F419"/>
  <c r="G419" s="1"/>
  <c r="F418"/>
  <c r="G418" s="1"/>
  <c r="H418" s="1"/>
  <c r="F417"/>
  <c r="G417" s="1"/>
  <c r="H417" s="1"/>
  <c r="F416"/>
  <c r="G416" s="1"/>
  <c r="H416" s="1"/>
  <c r="D414"/>
  <c r="F414" s="1"/>
  <c r="F413"/>
  <c r="G413" s="1"/>
  <c r="I413" s="1"/>
  <c r="J413" s="1"/>
  <c r="F412"/>
  <c r="G412" s="1"/>
  <c r="I412" s="1"/>
  <c r="J412" s="1"/>
  <c r="F411"/>
  <c r="G411" s="1"/>
  <c r="F410"/>
  <c r="G410" s="1"/>
  <c r="I410" s="1"/>
  <c r="J410" s="1"/>
  <c r="F409"/>
  <c r="G409" s="1"/>
  <c r="I409" s="1"/>
  <c r="J409" s="1"/>
  <c r="F408"/>
  <c r="G408" s="1"/>
  <c r="I408" s="1"/>
  <c r="J408" s="1"/>
  <c r="F407"/>
  <c r="G407" s="1"/>
  <c r="F406"/>
  <c r="G406" s="1"/>
  <c r="I406" s="1"/>
  <c r="J406" s="1"/>
  <c r="F405"/>
  <c r="G405" s="1"/>
  <c r="I405" s="1"/>
  <c r="J405" s="1"/>
  <c r="F404"/>
  <c r="G404" s="1"/>
  <c r="I404" s="1"/>
  <c r="J404" s="1"/>
  <c r="F403"/>
  <c r="G403" s="1"/>
  <c r="F402"/>
  <c r="G402" s="1"/>
  <c r="I402" s="1"/>
  <c r="J402" s="1"/>
  <c r="F401"/>
  <c r="G401" s="1"/>
  <c r="I401" s="1"/>
  <c r="J401" s="1"/>
  <c r="F400"/>
  <c r="G400" s="1"/>
  <c r="I400" s="1"/>
  <c r="J400" s="1"/>
  <c r="F399"/>
  <c r="G399" s="1"/>
  <c r="H399" s="1"/>
  <c r="F398"/>
  <c r="G398" s="1"/>
  <c r="H398" s="1"/>
  <c r="D396"/>
  <c r="F395"/>
  <c r="G395" s="1"/>
  <c r="H395" s="1"/>
  <c r="F394"/>
  <c r="G394" s="1"/>
  <c r="H394" s="1"/>
  <c r="F393"/>
  <c r="G393" s="1"/>
  <c r="H393" s="1"/>
  <c r="F392"/>
  <c r="G392" s="1"/>
  <c r="H392" s="1"/>
  <c r="F391"/>
  <c r="G391" s="1"/>
  <c r="H391" s="1"/>
  <c r="F390"/>
  <c r="G390" s="1"/>
  <c r="H390" s="1"/>
  <c r="F389"/>
  <c r="G389" s="1"/>
  <c r="H389" s="1"/>
  <c r="F388"/>
  <c r="G388" s="1"/>
  <c r="H388" s="1"/>
  <c r="F387"/>
  <c r="G387" s="1"/>
  <c r="H387" s="1"/>
  <c r="F386"/>
  <c r="G386" s="1"/>
  <c r="H386" s="1"/>
  <c r="F385"/>
  <c r="G385" s="1"/>
  <c r="H385" s="1"/>
  <c r="F384"/>
  <c r="G384" s="1"/>
  <c r="H384" s="1"/>
  <c r="F383"/>
  <c r="G383" s="1"/>
  <c r="H383" s="1"/>
  <c r="F382"/>
  <c r="G382" s="1"/>
  <c r="H382" s="1"/>
  <c r="F381"/>
  <c r="G381" s="1"/>
  <c r="H381" s="1"/>
  <c r="D379"/>
  <c r="F379" s="1"/>
  <c r="F378"/>
  <c r="G378" s="1"/>
  <c r="H378" s="1"/>
  <c r="F377"/>
  <c r="G377" s="1"/>
  <c r="H377" s="1"/>
  <c r="F376"/>
  <c r="G376" s="1"/>
  <c r="H376" s="1"/>
  <c r="F375"/>
  <c r="G375" s="1"/>
  <c r="H375" s="1"/>
  <c r="F374"/>
  <c r="G374" s="1"/>
  <c r="H374" s="1"/>
  <c r="F373"/>
  <c r="G373" s="1"/>
  <c r="H373" s="1"/>
  <c r="F372"/>
  <c r="G372" s="1"/>
  <c r="H372" s="1"/>
  <c r="F371"/>
  <c r="G371" s="1"/>
  <c r="H371" s="1"/>
  <c r="F370"/>
  <c r="G370" s="1"/>
  <c r="H370" s="1"/>
  <c r="F369"/>
  <c r="G369" s="1"/>
  <c r="H369" s="1"/>
  <c r="F368"/>
  <c r="G368" s="1"/>
  <c r="H368" s="1"/>
  <c r="F367"/>
  <c r="G367" s="1"/>
  <c r="H367" s="1"/>
  <c r="F366"/>
  <c r="G366" s="1"/>
  <c r="H366" s="1"/>
  <c r="F365"/>
  <c r="G365" s="1"/>
  <c r="H365" s="1"/>
  <c r="F364"/>
  <c r="G364" s="1"/>
  <c r="H364" s="1"/>
  <c r="F363"/>
  <c r="G363" s="1"/>
  <c r="H363" s="1"/>
  <c r="F362"/>
  <c r="G362" s="1"/>
  <c r="H362" s="1"/>
  <c r="D360"/>
  <c r="G359"/>
  <c r="H359" s="1"/>
  <c r="F359"/>
  <c r="G358"/>
  <c r="F358"/>
  <c r="G357"/>
  <c r="H357" s="1"/>
  <c r="F357"/>
  <c r="F356"/>
  <c r="G356" s="1"/>
  <c r="H356" s="1"/>
  <c r="F355"/>
  <c r="G355" s="1"/>
  <c r="H355" s="1"/>
  <c r="F354"/>
  <c r="G354" s="1"/>
  <c r="H354" s="1"/>
  <c r="F353"/>
  <c r="G353" s="1"/>
  <c r="H353" s="1"/>
  <c r="G352"/>
  <c r="H352" s="1"/>
  <c r="F352"/>
  <c r="G351"/>
  <c r="H351" s="1"/>
  <c r="F351"/>
  <c r="F350"/>
  <c r="G350" s="1"/>
  <c r="H350" s="1"/>
  <c r="G349"/>
  <c r="H349" s="1"/>
  <c r="F349"/>
  <c r="F348"/>
  <c r="G348" s="1"/>
  <c r="H348" s="1"/>
  <c r="F347"/>
  <c r="G347" s="1"/>
  <c r="H347" s="1"/>
  <c r="D345"/>
  <c r="F343"/>
  <c r="G343" s="1"/>
  <c r="F342"/>
  <c r="G342" s="1"/>
  <c r="H342" s="1"/>
  <c r="F341"/>
  <c r="F340"/>
  <c r="F339"/>
  <c r="F338"/>
  <c r="F337"/>
  <c r="F336"/>
  <c r="F335"/>
  <c r="F334"/>
  <c r="F333"/>
  <c r="F332"/>
  <c r="F331"/>
  <c r="F330"/>
  <c r="F329"/>
  <c r="F328"/>
  <c r="F327"/>
  <c r="F326"/>
  <c r="F325"/>
  <c r="F324"/>
  <c r="D322"/>
  <c r="F321"/>
  <c r="G321" s="1"/>
  <c r="I321" s="1"/>
  <c r="J321" s="1"/>
  <c r="F320"/>
  <c r="G320" s="1"/>
  <c r="F319"/>
  <c r="G319" s="1"/>
  <c r="F318"/>
  <c r="G318" s="1"/>
  <c r="F317"/>
  <c r="G317" s="1"/>
  <c r="I317" s="1"/>
  <c r="J317" s="1"/>
  <c r="F316"/>
  <c r="G316" s="1"/>
  <c r="F315"/>
  <c r="G315" s="1"/>
  <c r="F314"/>
  <c r="G314" s="1"/>
  <c r="F313"/>
  <c r="G313" s="1"/>
  <c r="I313" s="1"/>
  <c r="J313" s="1"/>
  <c r="F312"/>
  <c r="G312" s="1"/>
  <c r="F311"/>
  <c r="G311" s="1"/>
  <c r="F310"/>
  <c r="G310" s="1"/>
  <c r="F309"/>
  <c r="G309" s="1"/>
  <c r="I309" s="1"/>
  <c r="J309" s="1"/>
  <c r="F308"/>
  <c r="G308" s="1"/>
  <c r="F307"/>
  <c r="G307" s="1"/>
  <c r="F306"/>
  <c r="G306" s="1"/>
  <c r="F305"/>
  <c r="G305" s="1"/>
  <c r="I305" s="1"/>
  <c r="J305" s="1"/>
  <c r="F304"/>
  <c r="G304" s="1"/>
  <c r="F303"/>
  <c r="G303" s="1"/>
  <c r="F302"/>
  <c r="G302" s="1"/>
  <c r="F301"/>
  <c r="G301" s="1"/>
  <c r="I301" s="1"/>
  <c r="J301" s="1"/>
  <c r="F300"/>
  <c r="G300" s="1"/>
  <c r="D298"/>
  <c r="F297"/>
  <c r="G297" s="1"/>
  <c r="I297" s="1"/>
  <c r="J297" s="1"/>
  <c r="F296"/>
  <c r="G296" s="1"/>
  <c r="I296" s="1"/>
  <c r="J296" s="1"/>
  <c r="F295"/>
  <c r="G295" s="1"/>
  <c r="I295" s="1"/>
  <c r="J295" s="1"/>
  <c r="F294"/>
  <c r="G294" s="1"/>
  <c r="I294" s="1"/>
  <c r="J294" s="1"/>
  <c r="F293"/>
  <c r="G293" s="1"/>
  <c r="I293" s="1"/>
  <c r="J293" s="1"/>
  <c r="F292"/>
  <c r="G292" s="1"/>
  <c r="I292" s="1"/>
  <c r="J292" s="1"/>
  <c r="F291"/>
  <c r="G291" s="1"/>
  <c r="I291" s="1"/>
  <c r="J291" s="1"/>
  <c r="F290"/>
  <c r="G290" s="1"/>
  <c r="I290" s="1"/>
  <c r="J290" s="1"/>
  <c r="F289"/>
  <c r="G289" s="1"/>
  <c r="I289" s="1"/>
  <c r="J289" s="1"/>
  <c r="F288"/>
  <c r="G288" s="1"/>
  <c r="I288" s="1"/>
  <c r="J288" s="1"/>
  <c r="F287"/>
  <c r="G287" s="1"/>
  <c r="I287" s="1"/>
  <c r="J287" s="1"/>
  <c r="F286"/>
  <c r="G286" s="1"/>
  <c r="I286" s="1"/>
  <c r="J286" s="1"/>
  <c r="F285"/>
  <c r="G285" s="1"/>
  <c r="I285" s="1"/>
  <c r="J285" s="1"/>
  <c r="F284"/>
  <c r="G284" s="1"/>
  <c r="I284" s="1"/>
  <c r="J284" s="1"/>
  <c r="F283"/>
  <c r="G283" s="1"/>
  <c r="I283" s="1"/>
  <c r="J283" s="1"/>
  <c r="F282"/>
  <c r="G282" s="1"/>
  <c r="I282" s="1"/>
  <c r="J282" s="1"/>
  <c r="F281"/>
  <c r="G281" s="1"/>
  <c r="I281" s="1"/>
  <c r="J281" s="1"/>
  <c r="F280"/>
  <c r="G280" s="1"/>
  <c r="I280" s="1"/>
  <c r="J280" s="1"/>
  <c r="F279"/>
  <c r="G279" s="1"/>
  <c r="I279" s="1"/>
  <c r="J279" s="1"/>
  <c r="F278"/>
  <c r="G278" s="1"/>
  <c r="I278" s="1"/>
  <c r="J278" s="1"/>
  <c r="F277"/>
  <c r="G277" s="1"/>
  <c r="I277" s="1"/>
  <c r="J277" s="1"/>
  <c r="F276"/>
  <c r="G276" s="1"/>
  <c r="I276" s="1"/>
  <c r="J276" s="1"/>
  <c r="D274"/>
  <c r="F273"/>
  <c r="G273" s="1"/>
  <c r="H273" s="1"/>
  <c r="F272"/>
  <c r="G272" s="1"/>
  <c r="H272" s="1"/>
  <c r="F271"/>
  <c r="G271" s="1"/>
  <c r="H271" s="1"/>
  <c r="F270"/>
  <c r="G270" s="1"/>
  <c r="H270" s="1"/>
  <c r="F269"/>
  <c r="G269" s="1"/>
  <c r="H269" s="1"/>
  <c r="F268"/>
  <c r="G268" s="1"/>
  <c r="H268" s="1"/>
  <c r="F267"/>
  <c r="G267" s="1"/>
  <c r="H267" s="1"/>
  <c r="F266"/>
  <c r="G266" s="1"/>
  <c r="H266" s="1"/>
  <c r="F265"/>
  <c r="G265" s="1"/>
  <c r="H265" s="1"/>
  <c r="F264"/>
  <c r="G264" s="1"/>
  <c r="H264" s="1"/>
  <c r="F263"/>
  <c r="G263" s="1"/>
  <c r="H263" s="1"/>
  <c r="F262"/>
  <c r="G262" s="1"/>
  <c r="H262" s="1"/>
  <c r="F261"/>
  <c r="G261" s="1"/>
  <c r="H261" s="1"/>
  <c r="F260"/>
  <c r="G260" s="1"/>
  <c r="H260" s="1"/>
  <c r="F259"/>
  <c r="G259" s="1"/>
  <c r="H259" s="1"/>
  <c r="F258"/>
  <c r="G258" s="1"/>
  <c r="H258" s="1"/>
  <c r="F257"/>
  <c r="G257" s="1"/>
  <c r="H257" s="1"/>
  <c r="F256"/>
  <c r="G256" s="1"/>
  <c r="H256" s="1"/>
  <c r="F255"/>
  <c r="G255" s="1"/>
  <c r="H255" s="1"/>
  <c r="F254"/>
  <c r="G254" s="1"/>
  <c r="H254" s="1"/>
  <c r="F253"/>
  <c r="G253" s="1"/>
  <c r="H253" s="1"/>
  <c r="D251"/>
  <c r="F250"/>
  <c r="F249"/>
  <c r="F248"/>
  <c r="F247"/>
  <c r="F246"/>
  <c r="F245"/>
  <c r="F244"/>
  <c r="F243"/>
  <c r="F242"/>
  <c r="F241"/>
  <c r="F240"/>
  <c r="F239"/>
  <c r="F238"/>
  <c r="F237"/>
  <c r="F236"/>
  <c r="F235"/>
  <c r="F234"/>
  <c r="F233"/>
  <c r="D231"/>
  <c r="F230"/>
  <c r="G230" s="1"/>
  <c r="F229"/>
  <c r="G229" s="1"/>
  <c r="I229" s="1"/>
  <c r="J229" s="1"/>
  <c r="F228"/>
  <c r="G228" s="1"/>
  <c r="F227"/>
  <c r="G227" s="1"/>
  <c r="F226"/>
  <c r="G226" s="1"/>
  <c r="F225"/>
  <c r="G225" s="1"/>
  <c r="I225" s="1"/>
  <c r="J225" s="1"/>
  <c r="F224"/>
  <c r="G224" s="1"/>
  <c r="F223"/>
  <c r="G223" s="1"/>
  <c r="F222"/>
  <c r="G222" s="1"/>
  <c r="F221"/>
  <c r="G221" s="1"/>
  <c r="I221" s="1"/>
  <c r="J221" s="1"/>
  <c r="F220"/>
  <c r="G220" s="1"/>
  <c r="F219"/>
  <c r="G219" s="1"/>
  <c r="F218"/>
  <c r="G218" s="1"/>
  <c r="F217"/>
  <c r="G217" s="1"/>
  <c r="I217" s="1"/>
  <c r="J217" s="1"/>
  <c r="F216"/>
  <c r="G216" s="1"/>
  <c r="F215"/>
  <c r="G215" s="1"/>
  <c r="F214"/>
  <c r="G214" s="1"/>
  <c r="D212"/>
  <c r="F210"/>
  <c r="F209"/>
  <c r="F208"/>
  <c r="F207"/>
  <c r="F206"/>
  <c r="F205"/>
  <c r="F204"/>
  <c r="F203"/>
  <c r="F202"/>
  <c r="F201"/>
  <c r="F200"/>
  <c r="F199"/>
  <c r="F198"/>
  <c r="F197"/>
  <c r="F196"/>
  <c r="F195"/>
  <c r="F194"/>
  <c r="F193"/>
  <c r="F192"/>
  <c r="F191"/>
  <c r="D189"/>
  <c r="F188"/>
  <c r="G188" s="1"/>
  <c r="I188" s="1"/>
  <c r="J188" s="1"/>
  <c r="F187"/>
  <c r="G187" s="1"/>
  <c r="I187" s="1"/>
  <c r="J187" s="1"/>
  <c r="F186"/>
  <c r="G186" s="1"/>
  <c r="I186" s="1"/>
  <c r="J186" s="1"/>
  <c r="D184"/>
  <c r="F183"/>
  <c r="G183" s="1"/>
  <c r="F182"/>
  <c r="G182" s="1"/>
  <c r="I182" s="1"/>
  <c r="J182" s="1"/>
  <c r="F181"/>
  <c r="G181" s="1"/>
  <c r="I181" s="1"/>
  <c r="J181" s="1"/>
  <c r="F180"/>
  <c r="G180" s="1"/>
  <c r="I180" s="1"/>
  <c r="J180" s="1"/>
  <c r="F179"/>
  <c r="G179" s="1"/>
  <c r="F178"/>
  <c r="G178" s="1"/>
  <c r="I178" s="1"/>
  <c r="J178" s="1"/>
  <c r="F177"/>
  <c r="G177" s="1"/>
  <c r="I177" s="1"/>
  <c r="J177" s="1"/>
  <c r="F176"/>
  <c r="G176" s="1"/>
  <c r="I176" s="1"/>
  <c r="J176" s="1"/>
  <c r="F175"/>
  <c r="G175" s="1"/>
  <c r="F174"/>
  <c r="G174" s="1"/>
  <c r="I174" s="1"/>
  <c r="J174" s="1"/>
  <c r="F173"/>
  <c r="G173" s="1"/>
  <c r="I173" s="1"/>
  <c r="J173" s="1"/>
  <c r="F172"/>
  <c r="G172" s="1"/>
  <c r="I172" s="1"/>
  <c r="J172" s="1"/>
  <c r="F171"/>
  <c r="G171" s="1"/>
  <c r="F170"/>
  <c r="G170" s="1"/>
  <c r="I170" s="1"/>
  <c r="J170" s="1"/>
  <c r="F169"/>
  <c r="G169" s="1"/>
  <c r="I169" s="1"/>
  <c r="J169" s="1"/>
  <c r="F168"/>
  <c r="G168" s="1"/>
  <c r="I168" s="1"/>
  <c r="J168" s="1"/>
  <c r="F167"/>
  <c r="G167" s="1"/>
  <c r="F166"/>
  <c r="G166" s="1"/>
  <c r="I166" s="1"/>
  <c r="J166" s="1"/>
  <c r="F165"/>
  <c r="G165" s="1"/>
  <c r="I165" s="1"/>
  <c r="J165" s="1"/>
  <c r="F164"/>
  <c r="G164" s="1"/>
  <c r="I164" s="1"/>
  <c r="J164" s="1"/>
  <c r="D162"/>
  <c r="G161"/>
  <c r="H161" s="1"/>
  <c r="F161"/>
  <c r="G160"/>
  <c r="H160" s="1"/>
  <c r="F160"/>
  <c r="G159"/>
  <c r="H159" s="1"/>
  <c r="F159"/>
  <c r="G158"/>
  <c r="H158" s="1"/>
  <c r="F158"/>
  <c r="G157"/>
  <c r="H157" s="1"/>
  <c r="F157"/>
  <c r="G156"/>
  <c r="H156" s="1"/>
  <c r="F156"/>
  <c r="G155"/>
  <c r="H155" s="1"/>
  <c r="F155"/>
  <c r="D153"/>
  <c r="D152" s="1"/>
  <c r="F151"/>
  <c r="G151" s="1"/>
  <c r="I151" s="1"/>
  <c r="J151" s="1"/>
  <c r="F150"/>
  <c r="G150" s="1"/>
  <c r="I150" s="1"/>
  <c r="J150" s="1"/>
  <c r="F149"/>
  <c r="G149" s="1"/>
  <c r="I149" s="1"/>
  <c r="J149" s="1"/>
  <c r="F148"/>
  <c r="G148" s="1"/>
  <c r="F147"/>
  <c r="G147" s="1"/>
  <c r="I147" s="1"/>
  <c r="J147" s="1"/>
  <c r="F146"/>
  <c r="G146" s="1"/>
  <c r="I146" s="1"/>
  <c r="J146" s="1"/>
  <c r="F145"/>
  <c r="G145" s="1"/>
  <c r="I145" s="1"/>
  <c r="J145" s="1"/>
  <c r="F144"/>
  <c r="G144" s="1"/>
  <c r="F143"/>
  <c r="G143" s="1"/>
  <c r="I143" s="1"/>
  <c r="J143" s="1"/>
  <c r="F142"/>
  <c r="G142" s="1"/>
  <c r="I142" s="1"/>
  <c r="J142" s="1"/>
  <c r="F141"/>
  <c r="G141" s="1"/>
  <c r="I141" s="1"/>
  <c r="J141" s="1"/>
  <c r="F140"/>
  <c r="G140" s="1"/>
  <c r="F139"/>
  <c r="G139" s="1"/>
  <c r="I139" s="1"/>
  <c r="J139" s="1"/>
  <c r="F138"/>
  <c r="G138" s="1"/>
  <c r="I138" s="1"/>
  <c r="J138" s="1"/>
  <c r="D136"/>
  <c r="G134"/>
  <c r="F134"/>
  <c r="G133"/>
  <c r="H133" s="1"/>
  <c r="F133"/>
  <c r="G132"/>
  <c r="H132" s="1"/>
  <c r="F132"/>
  <c r="G131"/>
  <c r="H131" s="1"/>
  <c r="F131"/>
  <c r="G130"/>
  <c r="F130"/>
  <c r="G129"/>
  <c r="H129" s="1"/>
  <c r="F129"/>
  <c r="G128"/>
  <c r="H128" s="1"/>
  <c r="F128"/>
  <c r="G127"/>
  <c r="H127" s="1"/>
  <c r="F127"/>
  <c r="G126"/>
  <c r="F126"/>
  <c r="G125"/>
  <c r="H125" s="1"/>
  <c r="F125"/>
  <c r="G124"/>
  <c r="H124" s="1"/>
  <c r="F124"/>
  <c r="G123"/>
  <c r="H123" s="1"/>
  <c r="F123"/>
  <c r="G122"/>
  <c r="F122"/>
  <c r="G121"/>
  <c r="H121" s="1"/>
  <c r="F121"/>
  <c r="D119"/>
  <c r="D118"/>
  <c r="F117"/>
  <c r="F116"/>
  <c r="F115"/>
  <c r="F112"/>
  <c r="F111"/>
  <c r="F110"/>
  <c r="D108"/>
  <c r="G107"/>
  <c r="F107"/>
  <c r="G106"/>
  <c r="H106" s="1"/>
  <c r="F106"/>
  <c r="G105"/>
  <c r="H105" s="1"/>
  <c r="F105"/>
  <c r="G104"/>
  <c r="H104" s="1"/>
  <c r="F104"/>
  <c r="G103"/>
  <c r="F103"/>
  <c r="G102"/>
  <c r="H102" s="1"/>
  <c r="F102"/>
  <c r="G101"/>
  <c r="H101" s="1"/>
  <c r="F101"/>
  <c r="G98"/>
  <c r="H98" s="1"/>
  <c r="F98"/>
  <c r="G97"/>
  <c r="F97"/>
  <c r="G96"/>
  <c r="H96" s="1"/>
  <c r="F96"/>
  <c r="G95"/>
  <c r="H95" s="1"/>
  <c r="F95"/>
  <c r="G94"/>
  <c r="H94" s="1"/>
  <c r="F94"/>
  <c r="G93"/>
  <c r="F93"/>
  <c r="G92"/>
  <c r="H92" s="1"/>
  <c r="F92"/>
  <c r="G91"/>
  <c r="H91" s="1"/>
  <c r="F91"/>
  <c r="G90"/>
  <c r="H90" s="1"/>
  <c r="F90"/>
  <c r="G89"/>
  <c r="F89"/>
  <c r="D87"/>
  <c r="D86" s="1"/>
  <c r="F85"/>
  <c r="F84"/>
  <c r="F83"/>
  <c r="F82"/>
  <c r="F81"/>
  <c r="F80"/>
  <c r="F79"/>
  <c r="F78"/>
  <c r="F77"/>
  <c r="D75"/>
  <c r="F74"/>
  <c r="F73"/>
  <c r="F72"/>
  <c r="F71"/>
  <c r="F70"/>
  <c r="G70" s="1"/>
  <c r="H70" s="1"/>
  <c r="F69"/>
  <c r="G68"/>
  <c r="H68" s="1"/>
  <c r="F68"/>
  <c r="D66"/>
  <c r="F65"/>
  <c r="G65" s="1"/>
  <c r="H65" s="1"/>
  <c r="F64"/>
  <c r="G64" s="1"/>
  <c r="H64" s="1"/>
  <c r="F63"/>
  <c r="G63" s="1"/>
  <c r="H63" s="1"/>
  <c r="F62"/>
  <c r="G62" s="1"/>
  <c r="F61"/>
  <c r="G61" s="1"/>
  <c r="H61" s="1"/>
  <c r="F60"/>
  <c r="G60" s="1"/>
  <c r="H60" s="1"/>
  <c r="F59"/>
  <c r="G59" s="1"/>
  <c r="H59" s="1"/>
  <c r="F58"/>
  <c r="G58" s="1"/>
  <c r="F57"/>
  <c r="G57" s="1"/>
  <c r="H57" s="1"/>
  <c r="F56"/>
  <c r="G56" s="1"/>
  <c r="H56" s="1"/>
  <c r="F55"/>
  <c r="G55" s="1"/>
  <c r="H55" s="1"/>
  <c r="F54"/>
  <c r="G54" s="1"/>
  <c r="D52"/>
  <c r="F51"/>
  <c r="G51" s="1"/>
  <c r="I51" s="1"/>
  <c r="J51" s="1"/>
  <c r="F50"/>
  <c r="G50" s="1"/>
  <c r="I50" s="1"/>
  <c r="J50" s="1"/>
  <c r="F49"/>
  <c r="G49" s="1"/>
  <c r="I49" s="1"/>
  <c r="J49" s="1"/>
  <c r="F48"/>
  <c r="G48" s="1"/>
  <c r="I48" s="1"/>
  <c r="J48" s="1"/>
  <c r="F47"/>
  <c r="G47" s="1"/>
  <c r="I47" s="1"/>
  <c r="J47" s="1"/>
  <c r="F46"/>
  <c r="G46" s="1"/>
  <c r="I46" s="1"/>
  <c r="J46" s="1"/>
  <c r="F45"/>
  <c r="G45" s="1"/>
  <c r="I45" s="1"/>
  <c r="J45" s="1"/>
  <c r="D43"/>
  <c r="F42"/>
  <c r="F41"/>
  <c r="F40"/>
  <c r="F39"/>
  <c r="F38"/>
  <c r="F37"/>
  <c r="D35"/>
  <c r="F31"/>
  <c r="F30"/>
  <c r="D30"/>
  <c r="F29"/>
  <c r="G29" s="1"/>
  <c r="H29" s="1"/>
  <c r="D28"/>
  <c r="F28" s="1"/>
  <c r="F27"/>
  <c r="G27" s="1"/>
  <c r="I27" s="1"/>
  <c r="J27" s="1"/>
  <c r="F26"/>
  <c r="G26" s="1"/>
  <c r="I26" s="1"/>
  <c r="J26" s="1"/>
  <c r="F25"/>
  <c r="G25" s="1"/>
  <c r="I25" s="1"/>
  <c r="J25" s="1"/>
  <c r="F24"/>
  <c r="G24" s="1"/>
  <c r="I24" s="1"/>
  <c r="J24" s="1"/>
  <c r="F23"/>
  <c r="G23" s="1"/>
  <c r="I23" s="1"/>
  <c r="J23" s="1"/>
  <c r="F22"/>
  <c r="G22" s="1"/>
  <c r="I22" s="1"/>
  <c r="J22" s="1"/>
  <c r="F21"/>
  <c r="G21" s="1"/>
  <c r="I21" s="1"/>
  <c r="J21" s="1"/>
  <c r="F20"/>
  <c r="G20" s="1"/>
  <c r="I20" s="1"/>
  <c r="J20" s="1"/>
  <c r="F19"/>
  <c r="G19" s="1"/>
  <c r="I19" s="1"/>
  <c r="J19" s="1"/>
  <c r="F18"/>
  <c r="G18" s="1"/>
  <c r="I18" s="1"/>
  <c r="J18" s="1"/>
  <c r="F17"/>
  <c r="G17" s="1"/>
  <c r="I17" s="1"/>
  <c r="J17" s="1"/>
  <c r="D17"/>
  <c r="D16" s="1"/>
  <c r="F16" s="1"/>
  <c r="F15"/>
  <c r="G13"/>
  <c r="H13" s="1"/>
  <c r="F13"/>
  <c r="G12"/>
  <c r="H12" s="1"/>
  <c r="F12"/>
  <c r="G11"/>
  <c r="H11" s="1"/>
  <c r="F11"/>
  <c r="G10"/>
  <c r="H10" s="1"/>
  <c r="F10"/>
  <c r="E9"/>
  <c r="D9"/>
  <c r="J469" i="86" l="1"/>
  <c r="I468"/>
  <c r="J468" s="1"/>
  <c r="J491"/>
  <c r="I490"/>
  <c r="J490" s="1"/>
  <c r="H8"/>
  <c r="I8"/>
  <c r="J8" s="1"/>
  <c r="J152"/>
  <c r="I609"/>
  <c r="J609" s="1"/>
  <c r="I539"/>
  <c r="J539" s="1"/>
  <c r="I641"/>
  <c r="J641" s="1"/>
  <c r="I550"/>
  <c r="J550" s="1"/>
  <c r="I527"/>
  <c r="J527" s="1"/>
  <c r="I504"/>
  <c r="J504" s="1"/>
  <c r="I621"/>
  <c r="J621" s="1"/>
  <c r="I583"/>
  <c r="J583" s="1"/>
  <c r="I531"/>
  <c r="J531" s="1"/>
  <c r="I633"/>
  <c r="J633" s="1"/>
  <c r="I579"/>
  <c r="J579" s="1"/>
  <c r="I617"/>
  <c r="J617" s="1"/>
  <c r="I650"/>
  <c r="J650" s="1"/>
  <c r="I599"/>
  <c r="J599" s="1"/>
  <c r="I665"/>
  <c r="J665" s="1"/>
  <c r="I595"/>
  <c r="J595" s="1"/>
  <c r="J211"/>
  <c r="D33"/>
  <c r="F33" s="1"/>
  <c r="I669"/>
  <c r="J669" s="1"/>
  <c r="I566"/>
  <c r="J566" s="1"/>
  <c r="I575"/>
  <c r="J575" s="1"/>
  <c r="I562"/>
  <c r="J562" s="1"/>
  <c r="I523"/>
  <c r="J523" s="1"/>
  <c r="I661"/>
  <c r="J661" s="1"/>
  <c r="I543"/>
  <c r="J543" s="1"/>
  <c r="I646"/>
  <c r="J646" s="1"/>
  <c r="I554"/>
  <c r="J554" s="1"/>
  <c r="I508"/>
  <c r="J508" s="1"/>
  <c r="H152"/>
  <c r="E673"/>
  <c r="F211"/>
  <c r="H34"/>
  <c r="D673"/>
  <c r="I344"/>
  <c r="J344" s="1"/>
  <c r="I34"/>
  <c r="J34" s="1"/>
  <c r="D344" i="84"/>
  <c r="I363"/>
  <c r="J363" s="1"/>
  <c r="I365"/>
  <c r="J365" s="1"/>
  <c r="I367"/>
  <c r="J367" s="1"/>
  <c r="I369"/>
  <c r="J369" s="1"/>
  <c r="I371"/>
  <c r="J371" s="1"/>
  <c r="I373"/>
  <c r="J373" s="1"/>
  <c r="I375"/>
  <c r="J375" s="1"/>
  <c r="I377"/>
  <c r="J377" s="1"/>
  <c r="I362"/>
  <c r="J362" s="1"/>
  <c r="I364"/>
  <c r="J364" s="1"/>
  <c r="I366"/>
  <c r="J366" s="1"/>
  <c r="I368"/>
  <c r="J368" s="1"/>
  <c r="I370"/>
  <c r="J370" s="1"/>
  <c r="I372"/>
  <c r="J372" s="1"/>
  <c r="I374"/>
  <c r="J374" s="1"/>
  <c r="I376"/>
  <c r="J376" s="1"/>
  <c r="I378"/>
  <c r="J378" s="1"/>
  <c r="I140"/>
  <c r="J140" s="1"/>
  <c r="H140"/>
  <c r="I148"/>
  <c r="J148" s="1"/>
  <c r="H148"/>
  <c r="I167"/>
  <c r="J167" s="1"/>
  <c r="H167"/>
  <c r="I219"/>
  <c r="J219" s="1"/>
  <c r="H219"/>
  <c r="I311"/>
  <c r="J311" s="1"/>
  <c r="H311"/>
  <c r="I423"/>
  <c r="J423" s="1"/>
  <c r="H423"/>
  <c r="D514"/>
  <c r="E8"/>
  <c r="D135"/>
  <c r="I216"/>
  <c r="J216" s="1"/>
  <c r="H216"/>
  <c r="I220"/>
  <c r="J220" s="1"/>
  <c r="H220"/>
  <c r="I224"/>
  <c r="J224" s="1"/>
  <c r="H224"/>
  <c r="I228"/>
  <c r="J228" s="1"/>
  <c r="H228"/>
  <c r="I300"/>
  <c r="J300" s="1"/>
  <c r="H300"/>
  <c r="I304"/>
  <c r="J304" s="1"/>
  <c r="H304"/>
  <c r="I308"/>
  <c r="J308" s="1"/>
  <c r="H308"/>
  <c r="I312"/>
  <c r="J312" s="1"/>
  <c r="H312"/>
  <c r="I316"/>
  <c r="J316" s="1"/>
  <c r="H316"/>
  <c r="I320"/>
  <c r="J320" s="1"/>
  <c r="H320"/>
  <c r="I403"/>
  <c r="J403" s="1"/>
  <c r="H403"/>
  <c r="I407"/>
  <c r="J407" s="1"/>
  <c r="H407"/>
  <c r="I411"/>
  <c r="J411" s="1"/>
  <c r="H411"/>
  <c r="I420"/>
  <c r="J420" s="1"/>
  <c r="H420"/>
  <c r="I424"/>
  <c r="J424" s="1"/>
  <c r="H424"/>
  <c r="I428"/>
  <c r="J428" s="1"/>
  <c r="H428"/>
  <c r="I445"/>
  <c r="J445" s="1"/>
  <c r="H445"/>
  <c r="I474"/>
  <c r="J474" s="1"/>
  <c r="H474"/>
  <c r="I478"/>
  <c r="J478" s="1"/>
  <c r="H478"/>
  <c r="I482"/>
  <c r="J482" s="1"/>
  <c r="H482"/>
  <c r="I486"/>
  <c r="J486" s="1"/>
  <c r="H486"/>
  <c r="I495"/>
  <c r="J495" s="1"/>
  <c r="H495"/>
  <c r="I499"/>
  <c r="J499" s="1"/>
  <c r="H499"/>
  <c r="I503"/>
  <c r="J503" s="1"/>
  <c r="H503"/>
  <c r="I507"/>
  <c r="J507" s="1"/>
  <c r="H507"/>
  <c r="I511"/>
  <c r="J511" s="1"/>
  <c r="H511"/>
  <c r="H17"/>
  <c r="D211"/>
  <c r="H21"/>
  <c r="H221"/>
  <c r="H291"/>
  <c r="H309"/>
  <c r="I171"/>
  <c r="J171" s="1"/>
  <c r="H171"/>
  <c r="I179"/>
  <c r="J179" s="1"/>
  <c r="H179"/>
  <c r="I215"/>
  <c r="J215" s="1"/>
  <c r="H215"/>
  <c r="I223"/>
  <c r="J223" s="1"/>
  <c r="H223"/>
  <c r="I307"/>
  <c r="J307" s="1"/>
  <c r="H307"/>
  <c r="I319"/>
  <c r="J319" s="1"/>
  <c r="H319"/>
  <c r="I427"/>
  <c r="J427" s="1"/>
  <c r="H427"/>
  <c r="I214"/>
  <c r="J214" s="1"/>
  <c r="H214"/>
  <c r="I218"/>
  <c r="J218" s="1"/>
  <c r="H218"/>
  <c r="I222"/>
  <c r="J222" s="1"/>
  <c r="H222"/>
  <c r="I226"/>
  <c r="J226" s="1"/>
  <c r="H226"/>
  <c r="I230"/>
  <c r="J230" s="1"/>
  <c r="H230"/>
  <c r="I302"/>
  <c r="J302" s="1"/>
  <c r="H302"/>
  <c r="I306"/>
  <c r="J306" s="1"/>
  <c r="H306"/>
  <c r="I310"/>
  <c r="J310" s="1"/>
  <c r="H310"/>
  <c r="I314"/>
  <c r="J314" s="1"/>
  <c r="H314"/>
  <c r="I318"/>
  <c r="J318" s="1"/>
  <c r="H318"/>
  <c r="I544"/>
  <c r="J544" s="1"/>
  <c r="H544"/>
  <c r="I569"/>
  <c r="J569" s="1"/>
  <c r="H569"/>
  <c r="I622"/>
  <c r="J622" s="1"/>
  <c r="H622"/>
  <c r="I624"/>
  <c r="J624" s="1"/>
  <c r="H624"/>
  <c r="I626"/>
  <c r="J626" s="1"/>
  <c r="H626"/>
  <c r="I628"/>
  <c r="J628" s="1"/>
  <c r="H628"/>
  <c r="I630"/>
  <c r="J630" s="1"/>
  <c r="H630"/>
  <c r="I632"/>
  <c r="J632" s="1"/>
  <c r="H632"/>
  <c r="I634"/>
  <c r="J634" s="1"/>
  <c r="H634"/>
  <c r="I636"/>
  <c r="J636" s="1"/>
  <c r="H636"/>
  <c r="I638"/>
  <c r="J638" s="1"/>
  <c r="H638"/>
  <c r="I640"/>
  <c r="J640" s="1"/>
  <c r="H640"/>
  <c r="I642"/>
  <c r="J642" s="1"/>
  <c r="H642"/>
  <c r="I664"/>
  <c r="J664" s="1"/>
  <c r="H664"/>
  <c r="I668"/>
  <c r="J668" s="1"/>
  <c r="H668"/>
  <c r="I672"/>
  <c r="J672" s="1"/>
  <c r="H672"/>
  <c r="H229"/>
  <c r="H283"/>
  <c r="H301"/>
  <c r="H317"/>
  <c r="H426"/>
  <c r="I144"/>
  <c r="J144" s="1"/>
  <c r="H144"/>
  <c r="I175"/>
  <c r="J175" s="1"/>
  <c r="H175"/>
  <c r="I183"/>
  <c r="J183" s="1"/>
  <c r="H183"/>
  <c r="I227"/>
  <c r="J227" s="1"/>
  <c r="H227"/>
  <c r="I303"/>
  <c r="J303" s="1"/>
  <c r="H303"/>
  <c r="I315"/>
  <c r="J315" s="1"/>
  <c r="H315"/>
  <c r="I419"/>
  <c r="J419" s="1"/>
  <c r="H419"/>
  <c r="G72"/>
  <c r="H72" s="1"/>
  <c r="I421"/>
  <c r="J421" s="1"/>
  <c r="H421"/>
  <c r="I425"/>
  <c r="J425" s="1"/>
  <c r="H425"/>
  <c r="I429"/>
  <c r="J429" s="1"/>
  <c r="H429"/>
  <c r="I543"/>
  <c r="J543" s="1"/>
  <c r="H543"/>
  <c r="H25"/>
  <c r="H48"/>
  <c r="H188"/>
  <c r="H225"/>
  <c r="H279"/>
  <c r="H295"/>
  <c r="H313"/>
  <c r="H422"/>
  <c r="F9"/>
  <c r="I68"/>
  <c r="F468"/>
  <c r="H20"/>
  <c r="H24"/>
  <c r="H47"/>
  <c r="H51"/>
  <c r="H165"/>
  <c r="H169"/>
  <c r="H173"/>
  <c r="H177"/>
  <c r="H181"/>
  <c r="H187"/>
  <c r="H278"/>
  <c r="H282"/>
  <c r="H286"/>
  <c r="H290"/>
  <c r="H294"/>
  <c r="H447"/>
  <c r="H472"/>
  <c r="H476"/>
  <c r="H480"/>
  <c r="H484"/>
  <c r="H488"/>
  <c r="H568"/>
  <c r="H572"/>
  <c r="H623"/>
  <c r="H627"/>
  <c r="H631"/>
  <c r="H635"/>
  <c r="H639"/>
  <c r="H19"/>
  <c r="H23"/>
  <c r="H27"/>
  <c r="H46"/>
  <c r="H50"/>
  <c r="H139"/>
  <c r="H143"/>
  <c r="H147"/>
  <c r="H151"/>
  <c r="H164"/>
  <c r="H168"/>
  <c r="H172"/>
  <c r="H176"/>
  <c r="H180"/>
  <c r="H186"/>
  <c r="H277"/>
  <c r="H281"/>
  <c r="H285"/>
  <c r="H289"/>
  <c r="H293"/>
  <c r="H297"/>
  <c r="H402"/>
  <c r="H406"/>
  <c r="H410"/>
  <c r="H446"/>
  <c r="H471"/>
  <c r="H475"/>
  <c r="H479"/>
  <c r="H483"/>
  <c r="H487"/>
  <c r="H498"/>
  <c r="H502"/>
  <c r="H506"/>
  <c r="H510"/>
  <c r="H571"/>
  <c r="H657"/>
  <c r="H663"/>
  <c r="H667"/>
  <c r="H671"/>
  <c r="I91"/>
  <c r="I95"/>
  <c r="I101"/>
  <c r="I105"/>
  <c r="H18"/>
  <c r="H22"/>
  <c r="H26"/>
  <c r="H45"/>
  <c r="H49"/>
  <c r="H138"/>
  <c r="H142"/>
  <c r="H146"/>
  <c r="H150"/>
  <c r="H276"/>
  <c r="H280"/>
  <c r="H284"/>
  <c r="H288"/>
  <c r="H292"/>
  <c r="H296"/>
  <c r="H401"/>
  <c r="H405"/>
  <c r="H409"/>
  <c r="H413"/>
  <c r="H467"/>
  <c r="H497"/>
  <c r="H501"/>
  <c r="H505"/>
  <c r="H509"/>
  <c r="H513"/>
  <c r="H570"/>
  <c r="H621"/>
  <c r="H625"/>
  <c r="H629"/>
  <c r="H633"/>
  <c r="H637"/>
  <c r="H641"/>
  <c r="H662"/>
  <c r="H666"/>
  <c r="H670"/>
  <c r="I73"/>
  <c r="I74"/>
  <c r="J74" s="1"/>
  <c r="G74"/>
  <c r="H74" s="1"/>
  <c r="I121"/>
  <c r="J121" s="1"/>
  <c r="I123"/>
  <c r="J123" s="1"/>
  <c r="I125"/>
  <c r="J125" s="1"/>
  <c r="I127"/>
  <c r="J127" s="1"/>
  <c r="I129"/>
  <c r="J129" s="1"/>
  <c r="I131"/>
  <c r="J131" s="1"/>
  <c r="I133"/>
  <c r="J133" s="1"/>
  <c r="I156"/>
  <c r="J156" s="1"/>
  <c r="I158"/>
  <c r="J158" s="1"/>
  <c r="I160"/>
  <c r="J160" s="1"/>
  <c r="I254"/>
  <c r="J254" s="1"/>
  <c r="I256"/>
  <c r="J256" s="1"/>
  <c r="I258"/>
  <c r="J258" s="1"/>
  <c r="I260"/>
  <c r="J260" s="1"/>
  <c r="I262"/>
  <c r="J262" s="1"/>
  <c r="I264"/>
  <c r="J264" s="1"/>
  <c r="I266"/>
  <c r="J266" s="1"/>
  <c r="I268"/>
  <c r="J268" s="1"/>
  <c r="I270"/>
  <c r="J270" s="1"/>
  <c r="I272"/>
  <c r="J272" s="1"/>
  <c r="I350"/>
  <c r="J350" s="1"/>
  <c r="I352"/>
  <c r="J352" s="1"/>
  <c r="I383"/>
  <c r="J383" s="1"/>
  <c r="I385"/>
  <c r="J385" s="1"/>
  <c r="I416"/>
  <c r="J416" s="1"/>
  <c r="I418"/>
  <c r="J418" s="1"/>
  <c r="I518"/>
  <c r="J518" s="1"/>
  <c r="I520"/>
  <c r="J520" s="1"/>
  <c r="I522"/>
  <c r="J522" s="1"/>
  <c r="I524"/>
  <c r="J524" s="1"/>
  <c r="I526"/>
  <c r="J526" s="1"/>
  <c r="I528"/>
  <c r="J528" s="1"/>
  <c r="I530"/>
  <c r="J530" s="1"/>
  <c r="I532"/>
  <c r="J532" s="1"/>
  <c r="I534"/>
  <c r="J534" s="1"/>
  <c r="I536"/>
  <c r="J536" s="1"/>
  <c r="I538"/>
  <c r="J538" s="1"/>
  <c r="I540"/>
  <c r="J540" s="1"/>
  <c r="I542"/>
  <c r="J542" s="1"/>
  <c r="I63"/>
  <c r="I59"/>
  <c r="J59" s="1"/>
  <c r="I55"/>
  <c r="J55" s="1"/>
  <c r="I348"/>
  <c r="J348" s="1"/>
  <c r="I381"/>
  <c r="J381" s="1"/>
  <c r="I395"/>
  <c r="J395" s="1"/>
  <c r="I452"/>
  <c r="J452" s="1"/>
  <c r="I454"/>
  <c r="J454" s="1"/>
  <c r="I456"/>
  <c r="J456" s="1"/>
  <c r="I458"/>
  <c r="J458" s="1"/>
  <c r="I460"/>
  <c r="J460" s="1"/>
  <c r="I462"/>
  <c r="J462" s="1"/>
  <c r="I464"/>
  <c r="J464" s="1"/>
  <c r="I466"/>
  <c r="J466" s="1"/>
  <c r="I493"/>
  <c r="J493" s="1"/>
  <c r="I575"/>
  <c r="J575" s="1"/>
  <c r="I577"/>
  <c r="J577" s="1"/>
  <c r="I579"/>
  <c r="J579" s="1"/>
  <c r="I581"/>
  <c r="J581" s="1"/>
  <c r="I583"/>
  <c r="J583" s="1"/>
  <c r="I585"/>
  <c r="J585" s="1"/>
  <c r="I587"/>
  <c r="J587" s="1"/>
  <c r="I589"/>
  <c r="J589" s="1"/>
  <c r="I591"/>
  <c r="J591" s="1"/>
  <c r="I593"/>
  <c r="J593" s="1"/>
  <c r="I595"/>
  <c r="J595" s="1"/>
  <c r="I597"/>
  <c r="J597" s="1"/>
  <c r="I599"/>
  <c r="J599" s="1"/>
  <c r="I601"/>
  <c r="J601" s="1"/>
  <c r="I660"/>
  <c r="J660" s="1"/>
  <c r="I70"/>
  <c r="J70" s="1"/>
  <c r="I64"/>
  <c r="I60"/>
  <c r="J60" s="1"/>
  <c r="I56"/>
  <c r="I106"/>
  <c r="J106" s="1"/>
  <c r="I102"/>
  <c r="J102" s="1"/>
  <c r="I96"/>
  <c r="J96" s="1"/>
  <c r="I92"/>
  <c r="J92" s="1"/>
  <c r="J56"/>
  <c r="J64"/>
  <c r="J63"/>
  <c r="J91"/>
  <c r="J95"/>
  <c r="J101"/>
  <c r="J105"/>
  <c r="I122"/>
  <c r="J122" s="1"/>
  <c r="I124"/>
  <c r="J124" s="1"/>
  <c r="I126"/>
  <c r="J126" s="1"/>
  <c r="I128"/>
  <c r="J128" s="1"/>
  <c r="I130"/>
  <c r="J130" s="1"/>
  <c r="I132"/>
  <c r="J132" s="1"/>
  <c r="I134"/>
  <c r="J134" s="1"/>
  <c r="I155"/>
  <c r="J155" s="1"/>
  <c r="I157"/>
  <c r="J157" s="1"/>
  <c r="I159"/>
  <c r="J159" s="1"/>
  <c r="I161"/>
  <c r="J161" s="1"/>
  <c r="I253"/>
  <c r="J253" s="1"/>
  <c r="I255"/>
  <c r="J255" s="1"/>
  <c r="I257"/>
  <c r="J257" s="1"/>
  <c r="I259"/>
  <c r="J259" s="1"/>
  <c r="I261"/>
  <c r="J261" s="1"/>
  <c r="I263"/>
  <c r="J263" s="1"/>
  <c r="I265"/>
  <c r="J265" s="1"/>
  <c r="I267"/>
  <c r="J267" s="1"/>
  <c r="I269"/>
  <c r="J269" s="1"/>
  <c r="I271"/>
  <c r="J271" s="1"/>
  <c r="I273"/>
  <c r="J273" s="1"/>
  <c r="I358"/>
  <c r="J358" s="1"/>
  <c r="I391"/>
  <c r="J391" s="1"/>
  <c r="I393"/>
  <c r="J393" s="1"/>
  <c r="I417"/>
  <c r="J417" s="1"/>
  <c r="I517"/>
  <c r="J517" s="1"/>
  <c r="I519"/>
  <c r="J519" s="1"/>
  <c r="I521"/>
  <c r="J521" s="1"/>
  <c r="I523"/>
  <c r="J523" s="1"/>
  <c r="I525"/>
  <c r="J525" s="1"/>
  <c r="I527"/>
  <c r="J527" s="1"/>
  <c r="I529"/>
  <c r="J529" s="1"/>
  <c r="I531"/>
  <c r="J531" s="1"/>
  <c r="I533"/>
  <c r="J533" s="1"/>
  <c r="I535"/>
  <c r="J535" s="1"/>
  <c r="I537"/>
  <c r="J537" s="1"/>
  <c r="I539"/>
  <c r="J539" s="1"/>
  <c r="I541"/>
  <c r="J541" s="1"/>
  <c r="I620"/>
  <c r="J620" s="1"/>
  <c r="I65"/>
  <c r="J65" s="1"/>
  <c r="I61"/>
  <c r="J61" s="1"/>
  <c r="I57"/>
  <c r="J57" s="1"/>
  <c r="I107"/>
  <c r="J107" s="1"/>
  <c r="I103"/>
  <c r="J103" s="1"/>
  <c r="I97"/>
  <c r="J97" s="1"/>
  <c r="I93"/>
  <c r="J93" s="1"/>
  <c r="I89"/>
  <c r="J89" s="1"/>
  <c r="I354"/>
  <c r="J354" s="1"/>
  <c r="I356"/>
  <c r="J356" s="1"/>
  <c r="I387"/>
  <c r="J387" s="1"/>
  <c r="I389"/>
  <c r="J389" s="1"/>
  <c r="I451"/>
  <c r="J451" s="1"/>
  <c r="I453"/>
  <c r="J453" s="1"/>
  <c r="I455"/>
  <c r="J455" s="1"/>
  <c r="I457"/>
  <c r="J457" s="1"/>
  <c r="I459"/>
  <c r="J459" s="1"/>
  <c r="I461"/>
  <c r="J461" s="1"/>
  <c r="I463"/>
  <c r="J463" s="1"/>
  <c r="I465"/>
  <c r="J465" s="1"/>
  <c r="I494"/>
  <c r="J494" s="1"/>
  <c r="I576"/>
  <c r="J576" s="1"/>
  <c r="I578"/>
  <c r="J578" s="1"/>
  <c r="I580"/>
  <c r="J580" s="1"/>
  <c r="I582"/>
  <c r="J582" s="1"/>
  <c r="I584"/>
  <c r="J584" s="1"/>
  <c r="I586"/>
  <c r="J586" s="1"/>
  <c r="I588"/>
  <c r="J588" s="1"/>
  <c r="I590"/>
  <c r="J590" s="1"/>
  <c r="I592"/>
  <c r="J592" s="1"/>
  <c r="I594"/>
  <c r="J594" s="1"/>
  <c r="I596"/>
  <c r="J596" s="1"/>
  <c r="I598"/>
  <c r="J598" s="1"/>
  <c r="I600"/>
  <c r="J600" s="1"/>
  <c r="I602"/>
  <c r="J602" s="1"/>
  <c r="I661"/>
  <c r="J661" s="1"/>
  <c r="I62"/>
  <c r="J62" s="1"/>
  <c r="I58"/>
  <c r="J58" s="1"/>
  <c r="I54"/>
  <c r="J54" s="1"/>
  <c r="I104"/>
  <c r="J104" s="1"/>
  <c r="I98"/>
  <c r="J98" s="1"/>
  <c r="I94"/>
  <c r="J94" s="1"/>
  <c r="I90"/>
  <c r="J90" s="1"/>
  <c r="I10"/>
  <c r="J10" s="1"/>
  <c r="I29"/>
  <c r="J29" s="1"/>
  <c r="J68"/>
  <c r="I12"/>
  <c r="J12" s="1"/>
  <c r="I11"/>
  <c r="J11" s="1"/>
  <c r="I13"/>
  <c r="J13" s="1"/>
  <c r="G69"/>
  <c r="G71"/>
  <c r="H71" s="1"/>
  <c r="G73"/>
  <c r="H73" s="1"/>
  <c r="G28"/>
  <c r="G16"/>
  <c r="F8"/>
  <c r="G30"/>
  <c r="G31"/>
  <c r="D34"/>
  <c r="G37"/>
  <c r="G38"/>
  <c r="G39"/>
  <c r="G40"/>
  <c r="G41"/>
  <c r="G42"/>
  <c r="G77"/>
  <c r="G78"/>
  <c r="G79"/>
  <c r="G80"/>
  <c r="G81"/>
  <c r="G82"/>
  <c r="G83"/>
  <c r="G84"/>
  <c r="G85"/>
  <c r="G110"/>
  <c r="H110" s="1"/>
  <c r="G111"/>
  <c r="G112"/>
  <c r="G115"/>
  <c r="G116"/>
  <c r="G117"/>
  <c r="G191"/>
  <c r="G192"/>
  <c r="G193"/>
  <c r="H193" s="1"/>
  <c r="G194"/>
  <c r="G195"/>
  <c r="G196"/>
  <c r="G197"/>
  <c r="G198"/>
  <c r="G199"/>
  <c r="G200"/>
  <c r="G201"/>
  <c r="G202"/>
  <c r="H202" s="1"/>
  <c r="G203"/>
  <c r="G204"/>
  <c r="G205"/>
  <c r="G206"/>
  <c r="G207"/>
  <c r="G208"/>
  <c r="G209"/>
  <c r="G210"/>
  <c r="G233"/>
  <c r="G234"/>
  <c r="G235"/>
  <c r="G236"/>
  <c r="G237"/>
  <c r="G238"/>
  <c r="G239"/>
  <c r="G240"/>
  <c r="G241"/>
  <c r="G242"/>
  <c r="G243"/>
  <c r="G244"/>
  <c r="G245"/>
  <c r="G246"/>
  <c r="G247"/>
  <c r="G248"/>
  <c r="G249"/>
  <c r="G250"/>
  <c r="G324"/>
  <c r="G325"/>
  <c r="G326"/>
  <c r="G327"/>
  <c r="G328"/>
  <c r="G329"/>
  <c r="G330"/>
  <c r="G331"/>
  <c r="G332"/>
  <c r="G333"/>
  <c r="G334"/>
  <c r="G335"/>
  <c r="G336"/>
  <c r="G337"/>
  <c r="G338"/>
  <c r="G339"/>
  <c r="G340"/>
  <c r="G341"/>
  <c r="I342"/>
  <c r="J342" s="1"/>
  <c r="I349"/>
  <c r="J349" s="1"/>
  <c r="I353"/>
  <c r="J353" s="1"/>
  <c r="I357"/>
  <c r="J357" s="1"/>
  <c r="I382"/>
  <c r="J382" s="1"/>
  <c r="I386"/>
  <c r="J386" s="1"/>
  <c r="I390"/>
  <c r="J390" s="1"/>
  <c r="I394"/>
  <c r="J394" s="1"/>
  <c r="I399"/>
  <c r="J399" s="1"/>
  <c r="I343"/>
  <c r="J343" s="1"/>
  <c r="I347"/>
  <c r="J347" s="1"/>
  <c r="I351"/>
  <c r="J351" s="1"/>
  <c r="I355"/>
  <c r="J355" s="1"/>
  <c r="I359"/>
  <c r="J359" s="1"/>
  <c r="I384"/>
  <c r="J384" s="1"/>
  <c r="I388"/>
  <c r="J388" s="1"/>
  <c r="I392"/>
  <c r="J392" s="1"/>
  <c r="I398"/>
  <c r="J398" s="1"/>
  <c r="G433"/>
  <c r="G434"/>
  <c r="G435"/>
  <c r="G436"/>
  <c r="G437"/>
  <c r="G438"/>
  <c r="G439"/>
  <c r="G440"/>
  <c r="G441"/>
  <c r="G442"/>
  <c r="H442" s="1"/>
  <c r="G443"/>
  <c r="G444"/>
  <c r="D490"/>
  <c r="I547"/>
  <c r="J547" s="1"/>
  <c r="I548"/>
  <c r="J548" s="1"/>
  <c r="I549"/>
  <c r="J549" s="1"/>
  <c r="I550"/>
  <c r="J550" s="1"/>
  <c r="I551"/>
  <c r="J551" s="1"/>
  <c r="I552"/>
  <c r="J552" s="1"/>
  <c r="I553"/>
  <c r="J553" s="1"/>
  <c r="I554"/>
  <c r="J554" s="1"/>
  <c r="I555"/>
  <c r="J555" s="1"/>
  <c r="I556"/>
  <c r="J556" s="1"/>
  <c r="I557"/>
  <c r="J557" s="1"/>
  <c r="I558"/>
  <c r="J558" s="1"/>
  <c r="I559"/>
  <c r="J559" s="1"/>
  <c r="I560"/>
  <c r="J560" s="1"/>
  <c r="I561"/>
  <c r="J561" s="1"/>
  <c r="I562"/>
  <c r="J562" s="1"/>
  <c r="I563"/>
  <c r="J563" s="1"/>
  <c r="I564"/>
  <c r="J564" s="1"/>
  <c r="I565"/>
  <c r="J565" s="1"/>
  <c r="I566"/>
  <c r="J566" s="1"/>
  <c r="I567"/>
  <c r="J567" s="1"/>
  <c r="I607"/>
  <c r="J607" s="1"/>
  <c r="I608"/>
  <c r="J608" s="1"/>
  <c r="I609"/>
  <c r="J609" s="1"/>
  <c r="I610"/>
  <c r="J610" s="1"/>
  <c r="I611"/>
  <c r="J611" s="1"/>
  <c r="I612"/>
  <c r="J612" s="1"/>
  <c r="I613"/>
  <c r="J613" s="1"/>
  <c r="I614"/>
  <c r="J614" s="1"/>
  <c r="I615"/>
  <c r="J615" s="1"/>
  <c r="I616"/>
  <c r="J616" s="1"/>
  <c r="I617"/>
  <c r="J617" s="1"/>
  <c r="I646"/>
  <c r="J646" s="1"/>
  <c r="I647"/>
  <c r="J647" s="1"/>
  <c r="I648"/>
  <c r="J648" s="1"/>
  <c r="I649"/>
  <c r="J649" s="1"/>
  <c r="I650"/>
  <c r="J650" s="1"/>
  <c r="I651"/>
  <c r="J651" s="1"/>
  <c r="I652"/>
  <c r="J652" s="1"/>
  <c r="I653"/>
  <c r="J653" s="1"/>
  <c r="I654"/>
  <c r="J654" s="1"/>
  <c r="I655"/>
  <c r="J655" s="1"/>
  <c r="I656"/>
  <c r="J656" s="1"/>
  <c r="F673" i="86" l="1"/>
  <c r="I434" i="84"/>
  <c r="J434" s="1"/>
  <c r="H434"/>
  <c r="I340"/>
  <c r="J340" s="1"/>
  <c r="H340"/>
  <c r="I332"/>
  <c r="J332" s="1"/>
  <c r="H332"/>
  <c r="I244"/>
  <c r="J244" s="1"/>
  <c r="H244"/>
  <c r="I207"/>
  <c r="J207" s="1"/>
  <c r="H207"/>
  <c r="I195"/>
  <c r="J195" s="1"/>
  <c r="H195"/>
  <c r="I84"/>
  <c r="J84" s="1"/>
  <c r="H84"/>
  <c r="I28"/>
  <c r="J28" s="1"/>
  <c r="H28"/>
  <c r="I444"/>
  <c r="J444" s="1"/>
  <c r="H444"/>
  <c r="I436"/>
  <c r="J436" s="1"/>
  <c r="H436"/>
  <c r="I334"/>
  <c r="J334" s="1"/>
  <c r="H334"/>
  <c r="I326"/>
  <c r="J326" s="1"/>
  <c r="H326"/>
  <c r="I250"/>
  <c r="J250" s="1"/>
  <c r="H250"/>
  <c r="I242"/>
  <c r="J242" s="1"/>
  <c r="H242"/>
  <c r="I238"/>
  <c r="J238" s="1"/>
  <c r="H238"/>
  <c r="I209"/>
  <c r="J209" s="1"/>
  <c r="H209"/>
  <c r="I205"/>
  <c r="J205" s="1"/>
  <c r="H205"/>
  <c r="I201"/>
  <c r="J201" s="1"/>
  <c r="H201"/>
  <c r="I197"/>
  <c r="J197" s="1"/>
  <c r="H197"/>
  <c r="I82"/>
  <c r="J82" s="1"/>
  <c r="H82"/>
  <c r="I78"/>
  <c r="J78" s="1"/>
  <c r="H78"/>
  <c r="I37"/>
  <c r="J37" s="1"/>
  <c r="H37"/>
  <c r="I441"/>
  <c r="J441" s="1"/>
  <c r="H441"/>
  <c r="I437"/>
  <c r="J437" s="1"/>
  <c r="H437"/>
  <c r="I433"/>
  <c r="J433" s="1"/>
  <c r="H433"/>
  <c r="I339"/>
  <c r="J339" s="1"/>
  <c r="H339"/>
  <c r="I335"/>
  <c r="J335" s="1"/>
  <c r="H335"/>
  <c r="I331"/>
  <c r="J331" s="1"/>
  <c r="H331"/>
  <c r="I327"/>
  <c r="J327" s="1"/>
  <c r="H327"/>
  <c r="I247"/>
  <c r="J247" s="1"/>
  <c r="H247"/>
  <c r="I243"/>
  <c r="J243" s="1"/>
  <c r="H243"/>
  <c r="I239"/>
  <c r="J239" s="1"/>
  <c r="H239"/>
  <c r="I235"/>
  <c r="J235" s="1"/>
  <c r="H235"/>
  <c r="I210"/>
  <c r="J210" s="1"/>
  <c r="H210"/>
  <c r="I206"/>
  <c r="J206" s="1"/>
  <c r="H206"/>
  <c r="I198"/>
  <c r="J198" s="1"/>
  <c r="H198"/>
  <c r="I194"/>
  <c r="J194" s="1"/>
  <c r="H194"/>
  <c r="I115"/>
  <c r="J115" s="1"/>
  <c r="H115"/>
  <c r="I83"/>
  <c r="J83" s="1"/>
  <c r="H83"/>
  <c r="I79"/>
  <c r="J79" s="1"/>
  <c r="H79"/>
  <c r="I42"/>
  <c r="J42" s="1"/>
  <c r="H42"/>
  <c r="I38"/>
  <c r="J38" s="1"/>
  <c r="H38"/>
  <c r="I30"/>
  <c r="J30" s="1"/>
  <c r="H30"/>
  <c r="I442"/>
  <c r="J442" s="1"/>
  <c r="I202"/>
  <c r="J202" s="1"/>
  <c r="I336"/>
  <c r="J336" s="1"/>
  <c r="H336"/>
  <c r="I324"/>
  <c r="J324" s="1"/>
  <c r="H324"/>
  <c r="I236"/>
  <c r="J236" s="1"/>
  <c r="H236"/>
  <c r="I199"/>
  <c r="J199" s="1"/>
  <c r="H199"/>
  <c r="I116"/>
  <c r="J116" s="1"/>
  <c r="H116"/>
  <c r="I80"/>
  <c r="J80" s="1"/>
  <c r="H80"/>
  <c r="I31"/>
  <c r="J31" s="1"/>
  <c r="H31"/>
  <c r="I443"/>
  <c r="J443" s="1"/>
  <c r="H443"/>
  <c r="I439"/>
  <c r="J439" s="1"/>
  <c r="H439"/>
  <c r="I435"/>
  <c r="J435" s="1"/>
  <c r="H435"/>
  <c r="I341"/>
  <c r="J341" s="1"/>
  <c r="H341"/>
  <c r="I337"/>
  <c r="J337" s="1"/>
  <c r="H337"/>
  <c r="I333"/>
  <c r="J333" s="1"/>
  <c r="H333"/>
  <c r="I329"/>
  <c r="J329" s="1"/>
  <c r="H329"/>
  <c r="I325"/>
  <c r="J325" s="1"/>
  <c r="H325"/>
  <c r="I249"/>
  <c r="J249" s="1"/>
  <c r="H249"/>
  <c r="I245"/>
  <c r="J245" s="1"/>
  <c r="H245"/>
  <c r="I241"/>
  <c r="J241" s="1"/>
  <c r="H241"/>
  <c r="I237"/>
  <c r="J237" s="1"/>
  <c r="H237"/>
  <c r="I233"/>
  <c r="J233" s="1"/>
  <c r="H233"/>
  <c r="I208"/>
  <c r="J208" s="1"/>
  <c r="H208"/>
  <c r="I204"/>
  <c r="J204" s="1"/>
  <c r="H204"/>
  <c r="I200"/>
  <c r="J200" s="1"/>
  <c r="H200"/>
  <c r="I196"/>
  <c r="J196" s="1"/>
  <c r="H196"/>
  <c r="I192"/>
  <c r="J192" s="1"/>
  <c r="H192"/>
  <c r="I117"/>
  <c r="J117" s="1"/>
  <c r="H117"/>
  <c r="I112"/>
  <c r="H112"/>
  <c r="I85"/>
  <c r="J85" s="1"/>
  <c r="H85"/>
  <c r="I81"/>
  <c r="J81" s="1"/>
  <c r="H81"/>
  <c r="I77"/>
  <c r="J77" s="1"/>
  <c r="H77"/>
  <c r="I40"/>
  <c r="J40" s="1"/>
  <c r="H40"/>
  <c r="I193"/>
  <c r="J193" s="1"/>
  <c r="I72"/>
  <c r="J72" s="1"/>
  <c r="I438"/>
  <c r="J438" s="1"/>
  <c r="H438"/>
  <c r="I328"/>
  <c r="J328" s="1"/>
  <c r="H328"/>
  <c r="I248"/>
  <c r="J248" s="1"/>
  <c r="H248"/>
  <c r="I240"/>
  <c r="J240" s="1"/>
  <c r="H240"/>
  <c r="I203"/>
  <c r="J203" s="1"/>
  <c r="H203"/>
  <c r="I191"/>
  <c r="J191" s="1"/>
  <c r="H191"/>
  <c r="I111"/>
  <c r="J111" s="1"/>
  <c r="H111"/>
  <c r="I39"/>
  <c r="J39" s="1"/>
  <c r="H39"/>
  <c r="I69"/>
  <c r="J69" s="1"/>
  <c r="H69"/>
  <c r="I440"/>
  <c r="J440" s="1"/>
  <c r="H440"/>
  <c r="I338"/>
  <c r="J338" s="1"/>
  <c r="H338"/>
  <c r="I330"/>
  <c r="J330" s="1"/>
  <c r="H330"/>
  <c r="I246"/>
  <c r="J246" s="1"/>
  <c r="H246"/>
  <c r="I234"/>
  <c r="J234" s="1"/>
  <c r="H234"/>
  <c r="I41"/>
  <c r="J41" s="1"/>
  <c r="H41"/>
  <c r="I16"/>
  <c r="J16" s="1"/>
  <c r="H16"/>
  <c r="J73"/>
  <c r="J112"/>
  <c r="I71"/>
  <c r="J71" s="1"/>
  <c r="I110"/>
  <c r="J110" s="1"/>
  <c r="D673"/>
  <c r="D33"/>
  <c r="I673" i="86" l="1"/>
  <c r="J673" s="1"/>
  <c r="G673"/>
  <c r="H673" s="1"/>
  <c r="AE15" i="83"/>
  <c r="AQ30"/>
  <c r="AR30" s="1"/>
  <c r="AQ29"/>
  <c r="AS29" s="1"/>
  <c r="AY29" s="1"/>
  <c r="AS28"/>
  <c r="AY28" s="1"/>
  <c r="AR28"/>
  <c r="AQ27"/>
  <c r="AR27" s="1"/>
  <c r="AS26"/>
  <c r="AY26" s="1"/>
  <c r="AR26"/>
  <c r="AS25"/>
  <c r="AY25" s="1"/>
  <c r="AR25"/>
  <c r="AS24"/>
  <c r="AY24" s="1"/>
  <c r="AR24"/>
  <c r="AS23"/>
  <c r="AY23" s="1"/>
  <c r="AR23"/>
  <c r="AS22"/>
  <c r="AY22" s="1"/>
  <c r="AR22"/>
  <c r="AS21"/>
  <c r="AY21" s="1"/>
  <c r="AR21"/>
  <c r="AS20"/>
  <c r="AY20" s="1"/>
  <c r="AR20"/>
  <c r="AS19"/>
  <c r="AY19" s="1"/>
  <c r="AR19"/>
  <c r="AS18"/>
  <c r="AY18" s="1"/>
  <c r="AR18"/>
  <c r="AS17"/>
  <c r="AY17" s="1"/>
  <c r="AR17"/>
  <c r="AQ16"/>
  <c r="AZ20"/>
  <c r="AS13"/>
  <c r="AY13" s="1"/>
  <c r="AR13"/>
  <c r="AC13"/>
  <c r="AE13" s="1"/>
  <c r="AS12"/>
  <c r="AY12" s="1"/>
  <c r="AR12"/>
  <c r="AC12"/>
  <c r="AE12" s="1"/>
  <c r="AE10" s="1"/>
  <c r="AQ11"/>
  <c r="AC11"/>
  <c r="AE11" s="1"/>
  <c r="AD10"/>
  <c r="AB10"/>
  <c r="AO678"/>
  <c r="AZ678" s="1"/>
  <c r="AT677"/>
  <c r="AZ676"/>
  <c r="AC676"/>
  <c r="AZ675"/>
  <c r="AK675"/>
  <c r="AD675"/>
  <c r="AC675"/>
  <c r="U675"/>
  <c r="Q675"/>
  <c r="R675" s="1"/>
  <c r="AZ674"/>
  <c r="AC674"/>
  <c r="V674"/>
  <c r="U674"/>
  <c r="AK673"/>
  <c r="AV673" s="1"/>
  <c r="AD673"/>
  <c r="AC673"/>
  <c r="U673"/>
  <c r="AU673" s="1"/>
  <c r="Q673"/>
  <c r="R673" s="1"/>
  <c r="AJ672"/>
  <c r="AK672" s="1"/>
  <c r="AD672"/>
  <c r="AC672"/>
  <c r="U672"/>
  <c r="AU672" s="1"/>
  <c r="Q672"/>
  <c r="R672" s="1"/>
  <c r="AZ671"/>
  <c r="AC671"/>
  <c r="AD670"/>
  <c r="AC670"/>
  <c r="U670"/>
  <c r="AU670" s="1"/>
  <c r="Q670"/>
  <c r="R670" s="1"/>
  <c r="N670"/>
  <c r="AK670" s="1"/>
  <c r="AZ669"/>
  <c r="AC669"/>
  <c r="AV668"/>
  <c r="AK668"/>
  <c r="AQ668" s="1"/>
  <c r="AZ668" s="1"/>
  <c r="AD668"/>
  <c r="AC668"/>
  <c r="U668"/>
  <c r="AU668" s="1"/>
  <c r="Q668"/>
  <c r="S668" s="1"/>
  <c r="V668" s="1"/>
  <c r="AK667"/>
  <c r="AV667" s="1"/>
  <c r="AD667"/>
  <c r="AC667"/>
  <c r="U667"/>
  <c r="AU667" s="1"/>
  <c r="Q667"/>
  <c r="R667" s="1"/>
  <c r="AZ666"/>
  <c r="AC666"/>
  <c r="AK665"/>
  <c r="AV665" s="1"/>
  <c r="AD665"/>
  <c r="AC665"/>
  <c r="U665"/>
  <c r="AU665" s="1"/>
  <c r="Q665"/>
  <c r="R665" s="1"/>
  <c r="AK664"/>
  <c r="AQ664" s="1"/>
  <c r="AD664"/>
  <c r="AC664"/>
  <c r="U664"/>
  <c r="AU664" s="1"/>
  <c r="Q664"/>
  <c r="R664" s="1"/>
  <c r="AZ663"/>
  <c r="AC663"/>
  <c r="AK662"/>
  <c r="AV662" s="1"/>
  <c r="AD662"/>
  <c r="AC662"/>
  <c r="U662"/>
  <c r="AU662" s="1"/>
  <c r="Q662"/>
  <c r="R662" s="1"/>
  <c r="AZ661"/>
  <c r="AC661"/>
  <c r="AZ660"/>
  <c r="AC660"/>
  <c r="AV659"/>
  <c r="AQ659"/>
  <c r="AS659" s="1"/>
  <c r="AY659" s="1"/>
  <c r="AD659"/>
  <c r="AL659" s="1"/>
  <c r="AC659"/>
  <c r="U659"/>
  <c r="AU659" s="1"/>
  <c r="Q659"/>
  <c r="S659" s="1"/>
  <c r="V659" s="1"/>
  <c r="AK658"/>
  <c r="AV658" s="1"/>
  <c r="AD658"/>
  <c r="AC658"/>
  <c r="U658"/>
  <c r="AU658" s="1"/>
  <c r="Q658"/>
  <c r="S658" s="1"/>
  <c r="V658" s="1"/>
  <c r="AZ657"/>
  <c r="AC657"/>
  <c r="AK656"/>
  <c r="AV656" s="1"/>
  <c r="AD656"/>
  <c r="AC656"/>
  <c r="U656"/>
  <c r="AU656" s="1"/>
  <c r="Q656"/>
  <c r="S656" s="1"/>
  <c r="V656" s="1"/>
  <c r="AZ655"/>
  <c r="AC655"/>
  <c r="AZ654"/>
  <c r="AC654"/>
  <c r="AT653"/>
  <c r="AP653"/>
  <c r="AO653"/>
  <c r="AN653"/>
  <c r="AM653"/>
  <c r="AJ653"/>
  <c r="AI653"/>
  <c r="AH653"/>
  <c r="AG653"/>
  <c r="AF653"/>
  <c r="AE653"/>
  <c r="AB653"/>
  <c r="AA653"/>
  <c r="Y653"/>
  <c r="X653"/>
  <c r="W653"/>
  <c r="T653"/>
  <c r="P653"/>
  <c r="O653"/>
  <c r="N653"/>
  <c r="M653"/>
  <c r="L653"/>
  <c r="AC653" s="1"/>
  <c r="AK652"/>
  <c r="AV652" s="1"/>
  <c r="AD652"/>
  <c r="AC652"/>
  <c r="U652"/>
  <c r="AU652" s="1"/>
  <c r="Q652"/>
  <c r="R652" s="1"/>
  <c r="AZ651"/>
  <c r="AC651"/>
  <c r="V651"/>
  <c r="U651"/>
  <c r="AK650"/>
  <c r="AV650" s="1"/>
  <c r="AD650"/>
  <c r="AC650"/>
  <c r="U650"/>
  <c r="AU650" s="1"/>
  <c r="Q650"/>
  <c r="R650" s="1"/>
  <c r="AJ649"/>
  <c r="AK649" s="1"/>
  <c r="AD649"/>
  <c r="AC649"/>
  <c r="U649"/>
  <c r="AU649" s="1"/>
  <c r="Q649"/>
  <c r="S649" s="1"/>
  <c r="V649" s="1"/>
  <c r="AZ648"/>
  <c r="AC648"/>
  <c r="V648"/>
  <c r="U648"/>
  <c r="AK647"/>
  <c r="AV647" s="1"/>
  <c r="AD647"/>
  <c r="AC647"/>
  <c r="U647"/>
  <c r="AU647" s="1"/>
  <c r="Q647"/>
  <c r="S647" s="1"/>
  <c r="V647" s="1"/>
  <c r="AZ646"/>
  <c r="AC646"/>
  <c r="V646"/>
  <c r="U646"/>
  <c r="AK645"/>
  <c r="AD645"/>
  <c r="AC645"/>
  <c r="U645"/>
  <c r="AU645" s="1"/>
  <c r="Q645"/>
  <c r="S645" s="1"/>
  <c r="V645" s="1"/>
  <c r="AK644"/>
  <c r="AV644" s="1"/>
  <c r="AD644"/>
  <c r="AC644"/>
  <c r="U644"/>
  <c r="AU644" s="1"/>
  <c r="Q644"/>
  <c r="S644" s="1"/>
  <c r="V644" s="1"/>
  <c r="AD643"/>
  <c r="AC643"/>
  <c r="U643"/>
  <c r="AU643" s="1"/>
  <c r="N643"/>
  <c r="AK643" s="1"/>
  <c r="AZ642"/>
  <c r="AC642"/>
  <c r="V642"/>
  <c r="U642"/>
  <c r="AK641"/>
  <c r="AV641" s="1"/>
  <c r="AD641"/>
  <c r="AC641"/>
  <c r="U641"/>
  <c r="AU641" s="1"/>
  <c r="Q641"/>
  <c r="S641" s="1"/>
  <c r="V641" s="1"/>
  <c r="AZ640"/>
  <c r="AC640"/>
  <c r="V640"/>
  <c r="U640"/>
  <c r="AZ639"/>
  <c r="AC639"/>
  <c r="V639"/>
  <c r="U639"/>
  <c r="AK638"/>
  <c r="AD638"/>
  <c r="AC638"/>
  <c r="U638"/>
  <c r="AU638" s="1"/>
  <c r="Q638"/>
  <c r="S638" s="1"/>
  <c r="V638" s="1"/>
  <c r="AZ637"/>
  <c r="AC637"/>
  <c r="V637"/>
  <c r="U637"/>
  <c r="AT636"/>
  <c r="AP636"/>
  <c r="AO636"/>
  <c r="AN636"/>
  <c r="AN635" s="1"/>
  <c r="AM636"/>
  <c r="AM635" s="1"/>
  <c r="AJ636"/>
  <c r="AI636"/>
  <c r="AH636"/>
  <c r="AG636"/>
  <c r="AG635" s="1"/>
  <c r="AF636"/>
  <c r="AE636"/>
  <c r="AB636"/>
  <c r="AA636"/>
  <c r="Y636"/>
  <c r="X636"/>
  <c r="W636"/>
  <c r="W635" s="1"/>
  <c r="T636"/>
  <c r="P636"/>
  <c r="O636"/>
  <c r="M636"/>
  <c r="M635" s="1"/>
  <c r="L636"/>
  <c r="AK634"/>
  <c r="AV634" s="1"/>
  <c r="AD634"/>
  <c r="AC634"/>
  <c r="U634"/>
  <c r="AU634" s="1"/>
  <c r="Q634"/>
  <c r="S634" s="1"/>
  <c r="V634" s="1"/>
  <c r="AZ633"/>
  <c r="AC633"/>
  <c r="AK632"/>
  <c r="AV632" s="1"/>
  <c r="AW632" s="1"/>
  <c r="AD632"/>
  <c r="AC632"/>
  <c r="U632"/>
  <c r="AU632" s="1"/>
  <c r="Q632"/>
  <c r="S632" s="1"/>
  <c r="V632" s="1"/>
  <c r="AK631"/>
  <c r="AV631" s="1"/>
  <c r="AD631"/>
  <c r="AC631"/>
  <c r="U631"/>
  <c r="AU631" s="1"/>
  <c r="AX631" s="1"/>
  <c r="Q631"/>
  <c r="S631" s="1"/>
  <c r="V631" s="1"/>
  <c r="AZ630"/>
  <c r="AC630"/>
  <c r="AK629"/>
  <c r="AV629" s="1"/>
  <c r="AW629" s="1"/>
  <c r="AD629"/>
  <c r="AC629"/>
  <c r="U629"/>
  <c r="AU629" s="1"/>
  <c r="Q629"/>
  <c r="S629" s="1"/>
  <c r="V629" s="1"/>
  <c r="AZ628"/>
  <c r="AC628"/>
  <c r="AK627"/>
  <c r="AV627" s="1"/>
  <c r="AD627"/>
  <c r="AC627"/>
  <c r="U627"/>
  <c r="AU627" s="1"/>
  <c r="Q627"/>
  <c r="S627" s="1"/>
  <c r="V627" s="1"/>
  <c r="AZ626"/>
  <c r="AC626"/>
  <c r="AK625"/>
  <c r="AV625" s="1"/>
  <c r="AD625"/>
  <c r="AC625"/>
  <c r="U625"/>
  <c r="AU625" s="1"/>
  <c r="Q625"/>
  <c r="S625" s="1"/>
  <c r="V625" s="1"/>
  <c r="AZ624"/>
  <c r="AC624"/>
  <c r="AK623"/>
  <c r="AV623" s="1"/>
  <c r="AD623"/>
  <c r="AC623"/>
  <c r="U623"/>
  <c r="AU623" s="1"/>
  <c r="Q623"/>
  <c r="S623" s="1"/>
  <c r="V623" s="1"/>
  <c r="AZ622"/>
  <c r="AC622"/>
  <c r="AK621"/>
  <c r="AV621" s="1"/>
  <c r="AD621"/>
  <c r="AC621"/>
  <c r="U621"/>
  <c r="AU621" s="1"/>
  <c r="Q621"/>
  <c r="S621" s="1"/>
  <c r="V621" s="1"/>
  <c r="AK620"/>
  <c r="AD620"/>
  <c r="AC620"/>
  <c r="U620"/>
  <c r="AU620" s="1"/>
  <c r="Q620"/>
  <c r="S620" s="1"/>
  <c r="V620" s="1"/>
  <c r="AK619"/>
  <c r="AV619" s="1"/>
  <c r="AD619"/>
  <c r="AC619"/>
  <c r="U619"/>
  <c r="AU619" s="1"/>
  <c r="Q619"/>
  <c r="S619" s="1"/>
  <c r="V619" s="1"/>
  <c r="AZ618"/>
  <c r="AC618"/>
  <c r="AK617"/>
  <c r="AV617" s="1"/>
  <c r="AD617"/>
  <c r="AL617" s="1"/>
  <c r="AC617"/>
  <c r="U617"/>
  <c r="AU617" s="1"/>
  <c r="Q617"/>
  <c r="S617" s="1"/>
  <c r="V617" s="1"/>
  <c r="AK616"/>
  <c r="AV616" s="1"/>
  <c r="AW616" s="1"/>
  <c r="AD616"/>
  <c r="AC616"/>
  <c r="U616"/>
  <c r="AU616" s="1"/>
  <c r="Q616"/>
  <c r="S616" s="1"/>
  <c r="V616" s="1"/>
  <c r="AZ615"/>
  <c r="AC615"/>
  <c r="AK614"/>
  <c r="AV614" s="1"/>
  <c r="AD614"/>
  <c r="AC614"/>
  <c r="U614"/>
  <c r="AU614" s="1"/>
  <c r="Q614"/>
  <c r="R614" s="1"/>
  <c r="AZ613"/>
  <c r="AC613"/>
  <c r="V613"/>
  <c r="U613"/>
  <c r="AZ612"/>
  <c r="AC612"/>
  <c r="AK611"/>
  <c r="AV611" s="1"/>
  <c r="AD611"/>
  <c r="AC611"/>
  <c r="U611"/>
  <c r="AU611" s="1"/>
  <c r="Q611"/>
  <c r="S611" s="1"/>
  <c r="V611" s="1"/>
  <c r="AK610"/>
  <c r="AV610" s="1"/>
  <c r="AD610"/>
  <c r="AC610"/>
  <c r="U610"/>
  <c r="AU610" s="1"/>
  <c r="Q610"/>
  <c r="S610" s="1"/>
  <c r="V610" s="1"/>
  <c r="AZ609"/>
  <c r="AC609"/>
  <c r="AZ608"/>
  <c r="AC608"/>
  <c r="AT607"/>
  <c r="AP607"/>
  <c r="AO607"/>
  <c r="AN607"/>
  <c r="AM608" s="1"/>
  <c r="AM607"/>
  <c r="AJ607"/>
  <c r="AI607"/>
  <c r="AH607"/>
  <c r="AG607"/>
  <c r="AF607"/>
  <c r="AE607"/>
  <c r="AB607"/>
  <c r="AA607"/>
  <c r="Y607"/>
  <c r="X607"/>
  <c r="W607"/>
  <c r="T607"/>
  <c r="P607"/>
  <c r="O607"/>
  <c r="N607"/>
  <c r="M607"/>
  <c r="AD607" s="1"/>
  <c r="L607"/>
  <c r="AK606"/>
  <c r="AD606"/>
  <c r="AC606"/>
  <c r="U606"/>
  <c r="AU606" s="1"/>
  <c r="Q606"/>
  <c r="S606" s="1"/>
  <c r="V606" s="1"/>
  <c r="AZ605"/>
  <c r="AC605"/>
  <c r="AK604"/>
  <c r="AD604"/>
  <c r="AC604"/>
  <c r="U604"/>
  <c r="AU604" s="1"/>
  <c r="Q604"/>
  <c r="S604" s="1"/>
  <c r="V604" s="1"/>
  <c r="AZ603"/>
  <c r="AC603"/>
  <c r="AK602"/>
  <c r="AD602"/>
  <c r="AC602"/>
  <c r="U602"/>
  <c r="AU602" s="1"/>
  <c r="Q602"/>
  <c r="S602" s="1"/>
  <c r="V602" s="1"/>
  <c r="AK601"/>
  <c r="AV601" s="1"/>
  <c r="AD601"/>
  <c r="AC601"/>
  <c r="U601"/>
  <c r="AU601" s="1"/>
  <c r="Q601"/>
  <c r="R601" s="1"/>
  <c r="AZ600"/>
  <c r="AC600"/>
  <c r="AK599"/>
  <c r="AV599" s="1"/>
  <c r="AD599"/>
  <c r="AC599"/>
  <c r="U599"/>
  <c r="AU599" s="1"/>
  <c r="Q599"/>
  <c r="R599" s="1"/>
  <c r="AZ598"/>
  <c r="AC598"/>
  <c r="AK597"/>
  <c r="AV597" s="1"/>
  <c r="AD597"/>
  <c r="AC597"/>
  <c r="U597"/>
  <c r="AU597" s="1"/>
  <c r="Q597"/>
  <c r="S597" s="1"/>
  <c r="V597" s="1"/>
  <c r="AZ596"/>
  <c r="AC596"/>
  <c r="AK595"/>
  <c r="AV595" s="1"/>
  <c r="AD595"/>
  <c r="AC595"/>
  <c r="U595"/>
  <c r="AU595" s="1"/>
  <c r="Q595"/>
  <c r="S595" s="1"/>
  <c r="V595" s="1"/>
  <c r="AZ594"/>
  <c r="AC594"/>
  <c r="AK593"/>
  <c r="AD593"/>
  <c r="AC593"/>
  <c r="U593"/>
  <c r="AU593" s="1"/>
  <c r="Q593"/>
  <c r="S593" s="1"/>
  <c r="V593" s="1"/>
  <c r="AK592"/>
  <c r="AV592" s="1"/>
  <c r="AD592"/>
  <c r="AC592"/>
  <c r="U592"/>
  <c r="AU592" s="1"/>
  <c r="Q592"/>
  <c r="S592" s="1"/>
  <c r="V592" s="1"/>
  <c r="AK591"/>
  <c r="AV591" s="1"/>
  <c r="AD591"/>
  <c r="AC591"/>
  <c r="U591"/>
  <c r="AU591" s="1"/>
  <c r="Q591"/>
  <c r="S591" s="1"/>
  <c r="V591" s="1"/>
  <c r="AZ590"/>
  <c r="AC590"/>
  <c r="AK589"/>
  <c r="AV589" s="1"/>
  <c r="AD589"/>
  <c r="AC589"/>
  <c r="U589"/>
  <c r="AU589" s="1"/>
  <c r="Q589"/>
  <c r="S589" s="1"/>
  <c r="V589" s="1"/>
  <c r="AK588"/>
  <c r="AV588" s="1"/>
  <c r="AD588"/>
  <c r="AC588"/>
  <c r="U588"/>
  <c r="AU588" s="1"/>
  <c r="Q588"/>
  <c r="S588" s="1"/>
  <c r="V588" s="1"/>
  <c r="AK587"/>
  <c r="AV587" s="1"/>
  <c r="AD587"/>
  <c r="AC587"/>
  <c r="U587"/>
  <c r="AU587" s="1"/>
  <c r="Q587"/>
  <c r="S587" s="1"/>
  <c r="V587" s="1"/>
  <c r="AZ586"/>
  <c r="AC586"/>
  <c r="AK585"/>
  <c r="AQ585" s="1"/>
  <c r="AZ585" s="1"/>
  <c r="AD585"/>
  <c r="AC585"/>
  <c r="U585"/>
  <c r="AU585" s="1"/>
  <c r="Q585"/>
  <c r="S585" s="1"/>
  <c r="V585" s="1"/>
  <c r="AZ584"/>
  <c r="AC584"/>
  <c r="V584"/>
  <c r="U584"/>
  <c r="AZ583"/>
  <c r="AC583"/>
  <c r="AK582"/>
  <c r="AV582" s="1"/>
  <c r="AD582"/>
  <c r="AC582"/>
  <c r="U582"/>
  <c r="AU582" s="1"/>
  <c r="Q582"/>
  <c r="S582" s="1"/>
  <c r="V582" s="1"/>
  <c r="AK581"/>
  <c r="AV581" s="1"/>
  <c r="AD581"/>
  <c r="AC581"/>
  <c r="U581"/>
  <c r="AU581" s="1"/>
  <c r="Q581"/>
  <c r="S581" s="1"/>
  <c r="V581" s="1"/>
  <c r="AZ580"/>
  <c r="AC580"/>
  <c r="AZ579"/>
  <c r="AC579"/>
  <c r="AT578"/>
  <c r="AP578"/>
  <c r="AO578"/>
  <c r="AN578"/>
  <c r="AM578"/>
  <c r="AJ578"/>
  <c r="AI578"/>
  <c r="AH578"/>
  <c r="AG578"/>
  <c r="AF578"/>
  <c r="AE578"/>
  <c r="AB578"/>
  <c r="AA578"/>
  <c r="Y578"/>
  <c r="X578"/>
  <c r="W578"/>
  <c r="T578"/>
  <c r="P578"/>
  <c r="O578"/>
  <c r="N578"/>
  <c r="M578"/>
  <c r="L578"/>
  <c r="AK577"/>
  <c r="AV577" s="1"/>
  <c r="AD577"/>
  <c r="AC577"/>
  <c r="U577"/>
  <c r="AU577" s="1"/>
  <c r="Q577"/>
  <c r="S577" s="1"/>
  <c r="V577" s="1"/>
  <c r="AZ576"/>
  <c r="AC576"/>
  <c r="AK575"/>
  <c r="AD575"/>
  <c r="AC575"/>
  <c r="U575"/>
  <c r="AU575" s="1"/>
  <c r="Q575"/>
  <c r="S575" s="1"/>
  <c r="V575" s="1"/>
  <c r="AK574"/>
  <c r="AV574" s="1"/>
  <c r="AD574"/>
  <c r="AC574"/>
  <c r="U574"/>
  <c r="AU574" s="1"/>
  <c r="Q574"/>
  <c r="R574" s="1"/>
  <c r="AZ573"/>
  <c r="AC573"/>
  <c r="AK572"/>
  <c r="AV572" s="1"/>
  <c r="AD572"/>
  <c r="AC572"/>
  <c r="U572"/>
  <c r="AU572" s="1"/>
  <c r="Q572"/>
  <c r="S572" s="1"/>
  <c r="V572" s="1"/>
  <c r="AZ571"/>
  <c r="AC571"/>
  <c r="AK570"/>
  <c r="AD570"/>
  <c r="AC570"/>
  <c r="U570"/>
  <c r="AU570" s="1"/>
  <c r="Q570"/>
  <c r="R570" s="1"/>
  <c r="AZ569"/>
  <c r="AC569"/>
  <c r="AK568"/>
  <c r="AD568"/>
  <c r="AC568"/>
  <c r="U568"/>
  <c r="AU568" s="1"/>
  <c r="Q568"/>
  <c r="S568" s="1"/>
  <c r="V568" s="1"/>
  <c r="AZ567"/>
  <c r="AC567"/>
  <c r="AK566"/>
  <c r="AD566"/>
  <c r="AC566"/>
  <c r="X566"/>
  <c r="U566"/>
  <c r="AU566" s="1"/>
  <c r="Q566"/>
  <c r="S566" s="1"/>
  <c r="V566" s="1"/>
  <c r="AZ565"/>
  <c r="AC565"/>
  <c r="AK564"/>
  <c r="AD564"/>
  <c r="AC564"/>
  <c r="U564"/>
  <c r="AU564" s="1"/>
  <c r="Q564"/>
  <c r="S564" s="1"/>
  <c r="V564" s="1"/>
  <c r="AK563"/>
  <c r="AV563" s="1"/>
  <c r="AD563"/>
  <c r="AC563"/>
  <c r="U563"/>
  <c r="AU563" s="1"/>
  <c r="Q563"/>
  <c r="S563" s="1"/>
  <c r="V563" s="1"/>
  <c r="AZ562"/>
  <c r="AC562"/>
  <c r="AK561"/>
  <c r="AD561"/>
  <c r="AC561"/>
  <c r="U561"/>
  <c r="AU561" s="1"/>
  <c r="Q561"/>
  <c r="S561" s="1"/>
  <c r="V561" s="1"/>
  <c r="AK560"/>
  <c r="AV560" s="1"/>
  <c r="AD560"/>
  <c r="AC560"/>
  <c r="U560"/>
  <c r="AU560" s="1"/>
  <c r="Q560"/>
  <c r="S560" s="1"/>
  <c r="V560" s="1"/>
  <c r="AK559"/>
  <c r="AV559" s="1"/>
  <c r="AD559"/>
  <c r="AL559" s="1"/>
  <c r="AC559"/>
  <c r="U559"/>
  <c r="AU559" s="1"/>
  <c r="Q559"/>
  <c r="S559" s="1"/>
  <c r="V559" s="1"/>
  <c r="AK558"/>
  <c r="AD558"/>
  <c r="AC558"/>
  <c r="U558"/>
  <c r="AU558" s="1"/>
  <c r="Q558"/>
  <c r="S558" s="1"/>
  <c r="V558" s="1"/>
  <c r="AZ557"/>
  <c r="AC557"/>
  <c r="AK556"/>
  <c r="AV556" s="1"/>
  <c r="AD556"/>
  <c r="AC556"/>
  <c r="U556"/>
  <c r="AU556" s="1"/>
  <c r="Q556"/>
  <c r="R556" s="1"/>
  <c r="AZ555"/>
  <c r="AC555"/>
  <c r="V555"/>
  <c r="U555"/>
  <c r="AZ554"/>
  <c r="AC554"/>
  <c r="AK553"/>
  <c r="AV553" s="1"/>
  <c r="AD553"/>
  <c r="AL553" s="1"/>
  <c r="AC553"/>
  <c r="U553"/>
  <c r="AU553" s="1"/>
  <c r="Q553"/>
  <c r="S553" s="1"/>
  <c r="V553" s="1"/>
  <c r="AK552"/>
  <c r="AD552"/>
  <c r="AC552"/>
  <c r="U552"/>
  <c r="AU552" s="1"/>
  <c r="Q552"/>
  <c r="S552" s="1"/>
  <c r="V552" s="1"/>
  <c r="AZ551"/>
  <c r="AC551"/>
  <c r="AZ550"/>
  <c r="AC550"/>
  <c r="AT549"/>
  <c r="AP549"/>
  <c r="AO549"/>
  <c r="AN549"/>
  <c r="AM549"/>
  <c r="AM548" s="1"/>
  <c r="AJ549"/>
  <c r="AI549"/>
  <c r="AI548" s="1"/>
  <c r="AH549"/>
  <c r="AH548" s="1"/>
  <c r="AG549"/>
  <c r="AF549"/>
  <c r="AE549"/>
  <c r="AE548" s="1"/>
  <c r="AB549"/>
  <c r="AA549"/>
  <c r="Y549"/>
  <c r="X549"/>
  <c r="W549"/>
  <c r="W548" s="1"/>
  <c r="T549"/>
  <c r="P549"/>
  <c r="O549"/>
  <c r="N549"/>
  <c r="N548" s="1"/>
  <c r="M549"/>
  <c r="L549"/>
  <c r="AP548"/>
  <c r="AN548"/>
  <c r="AG548"/>
  <c r="Y548"/>
  <c r="L548"/>
  <c r="AK547"/>
  <c r="AL547" s="1"/>
  <c r="AD547"/>
  <c r="AC547"/>
  <c r="U547"/>
  <c r="AU547" s="1"/>
  <c r="R547"/>
  <c r="Q547"/>
  <c r="S547" s="1"/>
  <c r="V547" s="1"/>
  <c r="AZ546"/>
  <c r="AC546"/>
  <c r="AK545"/>
  <c r="AL545" s="1"/>
  <c r="AD545"/>
  <c r="AC545"/>
  <c r="U545"/>
  <c r="AU545" s="1"/>
  <c r="R545"/>
  <c r="Q545"/>
  <c r="S545" s="1"/>
  <c r="V545" s="1"/>
  <c r="AK544"/>
  <c r="AV544" s="1"/>
  <c r="AD544"/>
  <c r="AC544"/>
  <c r="U544"/>
  <c r="AU544" s="1"/>
  <c r="Q544"/>
  <c r="S544" s="1"/>
  <c r="V544" s="1"/>
  <c r="AZ543"/>
  <c r="AC543"/>
  <c r="AK542"/>
  <c r="AV542" s="1"/>
  <c r="AD542"/>
  <c r="AC542"/>
  <c r="U542"/>
  <c r="AU542" s="1"/>
  <c r="Q542"/>
  <c r="R542" s="1"/>
  <c r="AZ541"/>
  <c r="AC541"/>
  <c r="AK540"/>
  <c r="AV540" s="1"/>
  <c r="AW540" s="1"/>
  <c r="AD540"/>
  <c r="AC540"/>
  <c r="U540"/>
  <c r="AU540" s="1"/>
  <c r="Q540"/>
  <c r="R540" s="1"/>
  <c r="AZ539"/>
  <c r="AC539"/>
  <c r="V539"/>
  <c r="U539"/>
  <c r="AV538"/>
  <c r="AK538"/>
  <c r="AQ538" s="1"/>
  <c r="AS538" s="1"/>
  <c r="AY538" s="1"/>
  <c r="AD538"/>
  <c r="AC538"/>
  <c r="U538"/>
  <c r="AU538" s="1"/>
  <c r="Q538"/>
  <c r="S538" s="1"/>
  <c r="V538" s="1"/>
  <c r="AK537"/>
  <c r="AV537" s="1"/>
  <c r="AD537"/>
  <c r="AC537"/>
  <c r="U537"/>
  <c r="AU537" s="1"/>
  <c r="S537"/>
  <c r="V537" s="1"/>
  <c r="Q537"/>
  <c r="R537" s="1"/>
  <c r="AZ536"/>
  <c r="AC536"/>
  <c r="AK535"/>
  <c r="AV535" s="1"/>
  <c r="AD535"/>
  <c r="AC535"/>
  <c r="U535"/>
  <c r="AU535" s="1"/>
  <c r="Q535"/>
  <c r="R535" s="1"/>
  <c r="AZ534"/>
  <c r="AC534"/>
  <c r="AZ533"/>
  <c r="AC533"/>
  <c r="AV532"/>
  <c r="AQ532"/>
  <c r="AS532" s="1"/>
  <c r="AY532" s="1"/>
  <c r="AK532"/>
  <c r="AD532"/>
  <c r="AC532"/>
  <c r="U532"/>
  <c r="AU532" s="1"/>
  <c r="AX532" s="1"/>
  <c r="Q532"/>
  <c r="S532" s="1"/>
  <c r="V532" s="1"/>
  <c r="AZ531"/>
  <c r="AC531"/>
  <c r="AZ530"/>
  <c r="AC530"/>
  <c r="AT529"/>
  <c r="AP529"/>
  <c r="AO529"/>
  <c r="AN529"/>
  <c r="AM529"/>
  <c r="AK529"/>
  <c r="AL529" s="1"/>
  <c r="AJ529"/>
  <c r="AI529"/>
  <c r="AH529"/>
  <c r="AG529"/>
  <c r="AF529"/>
  <c r="AE529"/>
  <c r="AB529"/>
  <c r="AA529"/>
  <c r="Y529"/>
  <c r="X529"/>
  <c r="W529"/>
  <c r="T529"/>
  <c r="P529"/>
  <c r="O529"/>
  <c r="N529"/>
  <c r="Q529" s="1"/>
  <c r="M529"/>
  <c r="S529" s="1"/>
  <c r="V529" s="1"/>
  <c r="L529"/>
  <c r="AK528"/>
  <c r="AV528" s="1"/>
  <c r="AD528"/>
  <c r="AC528"/>
  <c r="U528"/>
  <c r="AU528" s="1"/>
  <c r="Q528"/>
  <c r="S528" s="1"/>
  <c r="V528" s="1"/>
  <c r="AK527"/>
  <c r="AD527"/>
  <c r="AC527"/>
  <c r="U527"/>
  <c r="AU527" s="1"/>
  <c r="Q527"/>
  <c r="S527" s="1"/>
  <c r="V527" s="1"/>
  <c r="AZ526"/>
  <c r="AC526"/>
  <c r="AK525"/>
  <c r="AV525" s="1"/>
  <c r="AD525"/>
  <c r="AC525"/>
  <c r="U525"/>
  <c r="AU525" s="1"/>
  <c r="Q525"/>
  <c r="S525" s="1"/>
  <c r="V525" s="1"/>
  <c r="AZ524"/>
  <c r="AC524"/>
  <c r="AK523"/>
  <c r="AV523" s="1"/>
  <c r="AD523"/>
  <c r="AC523"/>
  <c r="U523"/>
  <c r="AU523" s="1"/>
  <c r="Q523"/>
  <c r="S523" s="1"/>
  <c r="V523" s="1"/>
  <c r="AK522"/>
  <c r="AV522" s="1"/>
  <c r="AD522"/>
  <c r="AC522"/>
  <c r="U522"/>
  <c r="AU522" s="1"/>
  <c r="Q522"/>
  <c r="S522" s="1"/>
  <c r="V522" s="1"/>
  <c r="AK521"/>
  <c r="AD521"/>
  <c r="AC521"/>
  <c r="U521"/>
  <c r="AU521" s="1"/>
  <c r="Q521"/>
  <c r="S521" s="1"/>
  <c r="V521" s="1"/>
  <c r="AK520"/>
  <c r="AV520" s="1"/>
  <c r="AD520"/>
  <c r="AL520" s="1"/>
  <c r="AC520"/>
  <c r="U520"/>
  <c r="AU520" s="1"/>
  <c r="Q520"/>
  <c r="S520" s="1"/>
  <c r="V520" s="1"/>
  <c r="AK519"/>
  <c r="AV519" s="1"/>
  <c r="AD519"/>
  <c r="AC519"/>
  <c r="U519"/>
  <c r="AU519" s="1"/>
  <c r="Q519"/>
  <c r="S519" s="1"/>
  <c r="V519" s="1"/>
  <c r="AZ518"/>
  <c r="AC518"/>
  <c r="AK517"/>
  <c r="AD517"/>
  <c r="AC517"/>
  <c r="U517"/>
  <c r="AU517" s="1"/>
  <c r="S517"/>
  <c r="V517" s="1"/>
  <c r="Q517"/>
  <c r="AZ516"/>
  <c r="AC516"/>
  <c r="AK515"/>
  <c r="AQ515" s="1"/>
  <c r="AS515" s="1"/>
  <c r="AY515" s="1"/>
  <c r="AD515"/>
  <c r="AC515"/>
  <c r="U515"/>
  <c r="AU515" s="1"/>
  <c r="Q515"/>
  <c r="S515" s="1"/>
  <c r="V515" s="1"/>
  <c r="AZ514"/>
  <c r="AC514"/>
  <c r="AK513"/>
  <c r="AV513" s="1"/>
  <c r="AD513"/>
  <c r="AC513"/>
  <c r="U513"/>
  <c r="AU513" s="1"/>
  <c r="Q513"/>
  <c r="S513" s="1"/>
  <c r="V513" s="1"/>
  <c r="AK512"/>
  <c r="AD512"/>
  <c r="AC512"/>
  <c r="V512"/>
  <c r="U512"/>
  <c r="AU512" s="1"/>
  <c r="AZ511"/>
  <c r="AC511"/>
  <c r="AK510"/>
  <c r="AD510"/>
  <c r="AC510"/>
  <c r="U510"/>
  <c r="AU510" s="1"/>
  <c r="S510"/>
  <c r="V510" s="1"/>
  <c r="Q510"/>
  <c r="AZ509"/>
  <c r="AC509"/>
  <c r="AZ508"/>
  <c r="AC508"/>
  <c r="AK507"/>
  <c r="AV507" s="1"/>
  <c r="AD507"/>
  <c r="AC507"/>
  <c r="W507"/>
  <c r="U507"/>
  <c r="AU507" s="1"/>
  <c r="S507"/>
  <c r="V507" s="1"/>
  <c r="Q507"/>
  <c r="AZ506"/>
  <c r="AC506"/>
  <c r="AZ505"/>
  <c r="AC505"/>
  <c r="AT504"/>
  <c r="AP504"/>
  <c r="AO504"/>
  <c r="AN504"/>
  <c r="AM504"/>
  <c r="AJ504"/>
  <c r="AI504"/>
  <c r="AH504"/>
  <c r="AG504"/>
  <c r="AF504"/>
  <c r="AE504"/>
  <c r="AB504"/>
  <c r="AA504"/>
  <c r="Y504"/>
  <c r="X504"/>
  <c r="W504"/>
  <c r="T504"/>
  <c r="P504"/>
  <c r="O504"/>
  <c r="N504"/>
  <c r="M504"/>
  <c r="L504"/>
  <c r="AK503"/>
  <c r="AD503"/>
  <c r="AC503"/>
  <c r="V503"/>
  <c r="U503"/>
  <c r="AU503" s="1"/>
  <c r="AZ502"/>
  <c r="AC502"/>
  <c r="AK501"/>
  <c r="AV501" s="1"/>
  <c r="AD501"/>
  <c r="AC501"/>
  <c r="U501"/>
  <c r="AU501" s="1"/>
  <c r="S501"/>
  <c r="V501" s="1"/>
  <c r="Q501"/>
  <c r="AZ500"/>
  <c r="AC500"/>
  <c r="AK499"/>
  <c r="AL499" s="1"/>
  <c r="AD499"/>
  <c r="AC499"/>
  <c r="U499"/>
  <c r="AU499" s="1"/>
  <c r="Q499"/>
  <c r="S499" s="1"/>
  <c r="V499" s="1"/>
  <c r="AZ498"/>
  <c r="AC498"/>
  <c r="AK497"/>
  <c r="AV497" s="1"/>
  <c r="AD497"/>
  <c r="AC497"/>
  <c r="U497"/>
  <c r="AU497" s="1"/>
  <c r="Q497"/>
  <c r="S497" s="1"/>
  <c r="V497" s="1"/>
  <c r="AZ496"/>
  <c r="AC496"/>
  <c r="AK495"/>
  <c r="AV495" s="1"/>
  <c r="AD495"/>
  <c r="AC495"/>
  <c r="U495"/>
  <c r="AU495" s="1"/>
  <c r="Q495"/>
  <c r="S495" s="1"/>
  <c r="V495" s="1"/>
  <c r="AZ494"/>
  <c r="AC494"/>
  <c r="AK493"/>
  <c r="AV493" s="1"/>
  <c r="AD493"/>
  <c r="AC493"/>
  <c r="U493"/>
  <c r="AU493" s="1"/>
  <c r="Q493"/>
  <c r="S493" s="1"/>
  <c r="V493" s="1"/>
  <c r="AZ492"/>
  <c r="AC492"/>
  <c r="AZ491"/>
  <c r="AC491"/>
  <c r="AK490"/>
  <c r="AV490" s="1"/>
  <c r="AD490"/>
  <c r="AC490"/>
  <c r="U490"/>
  <c r="AU490" s="1"/>
  <c r="Q490"/>
  <c r="S490" s="1"/>
  <c r="V490" s="1"/>
  <c r="AZ489"/>
  <c r="AC489"/>
  <c r="AZ488"/>
  <c r="AC488"/>
  <c r="AT487"/>
  <c r="AP487"/>
  <c r="AO487"/>
  <c r="AN487"/>
  <c r="AM487"/>
  <c r="AJ487"/>
  <c r="AI487"/>
  <c r="AH487"/>
  <c r="AG487"/>
  <c r="AF487"/>
  <c r="AE487"/>
  <c r="AB487"/>
  <c r="AA487"/>
  <c r="Y487"/>
  <c r="X487"/>
  <c r="W487"/>
  <c r="W443" s="1"/>
  <c r="T487"/>
  <c r="U487" s="1"/>
  <c r="P487"/>
  <c r="O487"/>
  <c r="N487"/>
  <c r="M487"/>
  <c r="L487"/>
  <c r="AK486"/>
  <c r="AV486" s="1"/>
  <c r="AD486"/>
  <c r="AC486"/>
  <c r="U486"/>
  <c r="AU486" s="1"/>
  <c r="Q486"/>
  <c r="S486" s="1"/>
  <c r="V486" s="1"/>
  <c r="AK485"/>
  <c r="AD485"/>
  <c r="AC485"/>
  <c r="U485"/>
  <c r="AU485" s="1"/>
  <c r="Q485"/>
  <c r="S485" s="1"/>
  <c r="V485" s="1"/>
  <c r="AZ484"/>
  <c r="AC484"/>
  <c r="AK483"/>
  <c r="AV483" s="1"/>
  <c r="AD483"/>
  <c r="AC483"/>
  <c r="U483"/>
  <c r="AU483" s="1"/>
  <c r="S483"/>
  <c r="V483" s="1"/>
  <c r="Q483"/>
  <c r="AZ482"/>
  <c r="AC482"/>
  <c r="AK481"/>
  <c r="AV481" s="1"/>
  <c r="AW481" s="1"/>
  <c r="AD481"/>
  <c r="AC481"/>
  <c r="U481"/>
  <c r="AU481" s="1"/>
  <c r="Q481"/>
  <c r="S481" s="1"/>
  <c r="V481" s="1"/>
  <c r="AZ480"/>
  <c r="AC480"/>
  <c r="AK479"/>
  <c r="AV479" s="1"/>
  <c r="AD479"/>
  <c r="AC479"/>
  <c r="U479"/>
  <c r="AU479" s="1"/>
  <c r="Q479"/>
  <c r="S479" s="1"/>
  <c r="V479" s="1"/>
  <c r="AZ478"/>
  <c r="AC478"/>
  <c r="AZ477"/>
  <c r="AC477"/>
  <c r="AG476"/>
  <c r="AK476" s="1"/>
  <c r="AV476" s="1"/>
  <c r="AW476" s="1"/>
  <c r="AD476"/>
  <c r="AC476"/>
  <c r="U476"/>
  <c r="AU476" s="1"/>
  <c r="Q476"/>
  <c r="S476" s="1"/>
  <c r="V476" s="1"/>
  <c r="AZ475"/>
  <c r="AC475"/>
  <c r="AZ474"/>
  <c r="AC474"/>
  <c r="AT473"/>
  <c r="AP473"/>
  <c r="AO473"/>
  <c r="AN473"/>
  <c r="AM473"/>
  <c r="AJ473"/>
  <c r="AI473"/>
  <c r="AH473"/>
  <c r="AG473"/>
  <c r="AF473"/>
  <c r="AE473"/>
  <c r="AB473"/>
  <c r="AC473" s="1"/>
  <c r="AA473"/>
  <c r="Y473"/>
  <c r="X473"/>
  <c r="W473"/>
  <c r="T473"/>
  <c r="P473"/>
  <c r="O473"/>
  <c r="N473"/>
  <c r="M473"/>
  <c r="L473"/>
  <c r="AK472"/>
  <c r="AQ472" s="1"/>
  <c r="AS472" s="1"/>
  <c r="AY472" s="1"/>
  <c r="AD472"/>
  <c r="AC472"/>
  <c r="U472"/>
  <c r="AU472" s="1"/>
  <c r="Q472"/>
  <c r="S472" s="1"/>
  <c r="V472" s="1"/>
  <c r="AK471"/>
  <c r="AV471" s="1"/>
  <c r="AD471"/>
  <c r="AC471"/>
  <c r="U471"/>
  <c r="AU471" s="1"/>
  <c r="Q471"/>
  <c r="S471" s="1"/>
  <c r="V471" s="1"/>
  <c r="AZ470"/>
  <c r="AC470"/>
  <c r="AK469"/>
  <c r="AD469"/>
  <c r="AC469"/>
  <c r="U469"/>
  <c r="AU469" s="1"/>
  <c r="Q469"/>
  <c r="S469" s="1"/>
  <c r="V469" s="1"/>
  <c r="AZ468"/>
  <c r="AC468"/>
  <c r="AK467"/>
  <c r="AV467" s="1"/>
  <c r="AD467"/>
  <c r="AC467"/>
  <c r="U467"/>
  <c r="AU467" s="1"/>
  <c r="Q467"/>
  <c r="S467" s="1"/>
  <c r="V467" s="1"/>
  <c r="AZ466"/>
  <c r="AC466"/>
  <c r="AK465"/>
  <c r="AV465" s="1"/>
  <c r="AD465"/>
  <c r="AC465"/>
  <c r="U465"/>
  <c r="AU465" s="1"/>
  <c r="Q465"/>
  <c r="S465" s="1"/>
  <c r="V465" s="1"/>
  <c r="AZ464"/>
  <c r="AC464"/>
  <c r="AZ463"/>
  <c r="AC463"/>
  <c r="AK462"/>
  <c r="AD462"/>
  <c r="AC462"/>
  <c r="U462"/>
  <c r="AU462" s="1"/>
  <c r="Q462"/>
  <c r="S462" s="1"/>
  <c r="V462" s="1"/>
  <c r="AZ461"/>
  <c r="AC461"/>
  <c r="AK460"/>
  <c r="AV460" s="1"/>
  <c r="AD460"/>
  <c r="AC460"/>
  <c r="U460"/>
  <c r="AU460" s="1"/>
  <c r="Q460"/>
  <c r="S460" s="1"/>
  <c r="V460" s="1"/>
  <c r="AZ459"/>
  <c r="AC459"/>
  <c r="AZ458"/>
  <c r="AC458"/>
  <c r="AT457"/>
  <c r="AP457"/>
  <c r="AO457"/>
  <c r="AN457"/>
  <c r="AM457"/>
  <c r="AJ457"/>
  <c r="AH457"/>
  <c r="AG457"/>
  <c r="AF457"/>
  <c r="AE457"/>
  <c r="AB457"/>
  <c r="AA457"/>
  <c r="Y457"/>
  <c r="Y443" s="1"/>
  <c r="X457"/>
  <c r="W457"/>
  <c r="T457"/>
  <c r="Q457"/>
  <c r="P457"/>
  <c r="O457"/>
  <c r="N457"/>
  <c r="M457"/>
  <c r="S457" s="1"/>
  <c r="V457" s="1"/>
  <c r="L457"/>
  <c r="AZ456"/>
  <c r="AK456"/>
  <c r="AD456"/>
  <c r="AC456"/>
  <c r="U456"/>
  <c r="Q456"/>
  <c r="S456" s="1"/>
  <c r="V456" s="1"/>
  <c r="AZ455"/>
  <c r="AC455"/>
  <c r="AZ454"/>
  <c r="AK454"/>
  <c r="AD454"/>
  <c r="AC454"/>
  <c r="U454"/>
  <c r="Q454"/>
  <c r="R454" s="1"/>
  <c r="AZ453"/>
  <c r="AC453"/>
  <c r="AZ452"/>
  <c r="AK452"/>
  <c r="AD452"/>
  <c r="AC452"/>
  <c r="U452"/>
  <c r="Q452"/>
  <c r="S452" s="1"/>
  <c r="V452" s="1"/>
  <c r="AZ451"/>
  <c r="AC451"/>
  <c r="AZ450"/>
  <c r="AK450"/>
  <c r="AD450"/>
  <c r="AC450"/>
  <c r="U450"/>
  <c r="Q450"/>
  <c r="AZ449"/>
  <c r="AC449"/>
  <c r="V449"/>
  <c r="U449"/>
  <c r="AZ448"/>
  <c r="AC448"/>
  <c r="AZ447"/>
  <c r="AK447"/>
  <c r="AD447"/>
  <c r="AC447"/>
  <c r="U447"/>
  <c r="Q447"/>
  <c r="S447" s="1"/>
  <c r="V447" s="1"/>
  <c r="AZ446"/>
  <c r="AC446"/>
  <c r="AZ445"/>
  <c r="AC445"/>
  <c r="AT444"/>
  <c r="AP444"/>
  <c r="AO444"/>
  <c r="AN444"/>
  <c r="AM444"/>
  <c r="AJ444"/>
  <c r="AI444"/>
  <c r="AI443" s="1"/>
  <c r="AH444"/>
  <c r="AG444"/>
  <c r="AF444"/>
  <c r="AE444"/>
  <c r="AE443" s="1"/>
  <c r="AB444"/>
  <c r="AA444"/>
  <c r="Y444"/>
  <c r="X444"/>
  <c r="X443" s="1"/>
  <c r="W444"/>
  <c r="T444"/>
  <c r="P444"/>
  <c r="O444"/>
  <c r="O443" s="1"/>
  <c r="N444"/>
  <c r="M444"/>
  <c r="L444"/>
  <c r="AN443"/>
  <c r="AK442"/>
  <c r="AD442"/>
  <c r="AC442"/>
  <c r="U442"/>
  <c r="AU442" s="1"/>
  <c r="Q442"/>
  <c r="S442" s="1"/>
  <c r="V442" s="1"/>
  <c r="AZ441"/>
  <c r="AC441"/>
  <c r="AZ440"/>
  <c r="AC440"/>
  <c r="AK439"/>
  <c r="AV439" s="1"/>
  <c r="AD439"/>
  <c r="AL439" s="1"/>
  <c r="AC439"/>
  <c r="U439"/>
  <c r="AU439" s="1"/>
  <c r="Q439"/>
  <c r="S439" s="1"/>
  <c r="V439" s="1"/>
  <c r="AZ438"/>
  <c r="AC438"/>
  <c r="AK437"/>
  <c r="AD437"/>
  <c r="AC437"/>
  <c r="U437"/>
  <c r="AU437" s="1"/>
  <c r="Q437"/>
  <c r="S437" s="1"/>
  <c r="V437" s="1"/>
  <c r="AK436"/>
  <c r="AV436" s="1"/>
  <c r="AD436"/>
  <c r="AL436" s="1"/>
  <c r="AC436"/>
  <c r="U436"/>
  <c r="AU436" s="1"/>
  <c r="Q436"/>
  <c r="S436" s="1"/>
  <c r="V436" s="1"/>
  <c r="AZ435"/>
  <c r="AC435"/>
  <c r="AK434"/>
  <c r="AD434"/>
  <c r="AC434"/>
  <c r="U434"/>
  <c r="AU434" s="1"/>
  <c r="Q434"/>
  <c r="S434" s="1"/>
  <c r="V434" s="1"/>
  <c r="AZ433"/>
  <c r="AC433"/>
  <c r="AK432"/>
  <c r="AV432" s="1"/>
  <c r="AD432"/>
  <c r="AC432"/>
  <c r="U432"/>
  <c r="AU432" s="1"/>
  <c r="Q432"/>
  <c r="S432" s="1"/>
  <c r="V432" s="1"/>
  <c r="AZ431"/>
  <c r="AC431"/>
  <c r="AK430"/>
  <c r="AD430"/>
  <c r="AC430"/>
  <c r="U430"/>
  <c r="AU430" s="1"/>
  <c r="Q430"/>
  <c r="S430" s="1"/>
  <c r="V430" s="1"/>
  <c r="AK429"/>
  <c r="AV429" s="1"/>
  <c r="AD429"/>
  <c r="AC429"/>
  <c r="U429"/>
  <c r="AU429" s="1"/>
  <c r="Q429"/>
  <c r="S429" s="1"/>
  <c r="V429" s="1"/>
  <c r="AK428"/>
  <c r="AL428" s="1"/>
  <c r="AD428"/>
  <c r="AC428"/>
  <c r="U428"/>
  <c r="AU428" s="1"/>
  <c r="Q428"/>
  <c r="S428" s="1"/>
  <c r="V428" s="1"/>
  <c r="AZ427"/>
  <c r="AC427"/>
  <c r="AK426"/>
  <c r="AD426"/>
  <c r="AC426"/>
  <c r="U426"/>
  <c r="AU426" s="1"/>
  <c r="Q426"/>
  <c r="S426" s="1"/>
  <c r="V426" s="1"/>
  <c r="AK425"/>
  <c r="AQ425" s="1"/>
  <c r="AR425" s="1"/>
  <c r="AD425"/>
  <c r="AC425"/>
  <c r="U425"/>
  <c r="AU425" s="1"/>
  <c r="Q425"/>
  <c r="S425" s="1"/>
  <c r="V425" s="1"/>
  <c r="AZ424"/>
  <c r="AC424"/>
  <c r="AK423"/>
  <c r="AV423" s="1"/>
  <c r="AD423"/>
  <c r="AC423"/>
  <c r="U423"/>
  <c r="AU423" s="1"/>
  <c r="Q423"/>
  <c r="S423" s="1"/>
  <c r="V423" s="1"/>
  <c r="AZ422"/>
  <c r="AC422"/>
  <c r="AZ421"/>
  <c r="AC421"/>
  <c r="AK420"/>
  <c r="AQ420" s="1"/>
  <c r="AR420" s="1"/>
  <c r="AD420"/>
  <c r="AC420"/>
  <c r="U420"/>
  <c r="AU420" s="1"/>
  <c r="Q420"/>
  <c r="S420" s="1"/>
  <c r="V420" s="1"/>
  <c r="AZ419"/>
  <c r="AC419"/>
  <c r="AZ418"/>
  <c r="AC418"/>
  <c r="AT417"/>
  <c r="AP417"/>
  <c r="AO417"/>
  <c r="AN417"/>
  <c r="AN416" s="1"/>
  <c r="AM417"/>
  <c r="AJ417"/>
  <c r="AI417"/>
  <c r="AH417"/>
  <c r="AH416" s="1"/>
  <c r="AG417"/>
  <c r="AF417"/>
  <c r="AE417"/>
  <c r="AB417"/>
  <c r="AA417"/>
  <c r="Y417"/>
  <c r="X417"/>
  <c r="W417"/>
  <c r="W416" s="1"/>
  <c r="T417"/>
  <c r="P417"/>
  <c r="O417"/>
  <c r="N417"/>
  <c r="M417"/>
  <c r="L417"/>
  <c r="AP416"/>
  <c r="AO416"/>
  <c r="AM416"/>
  <c r="AJ416"/>
  <c r="AI416"/>
  <c r="AG416"/>
  <c r="AF416"/>
  <c r="AE416"/>
  <c r="AA416"/>
  <c r="Y416"/>
  <c r="X416"/>
  <c r="T416"/>
  <c r="P416"/>
  <c r="O416"/>
  <c r="M416"/>
  <c r="L416"/>
  <c r="AK415"/>
  <c r="AV415" s="1"/>
  <c r="AD415"/>
  <c r="AC415"/>
  <c r="U415"/>
  <c r="AU415" s="1"/>
  <c r="Q415"/>
  <c r="R415" s="1"/>
  <c r="AZ414"/>
  <c r="AC414"/>
  <c r="AD413"/>
  <c r="AC413"/>
  <c r="X413"/>
  <c r="AK413" s="1"/>
  <c r="U413"/>
  <c r="AU413" s="1"/>
  <c r="Q413"/>
  <c r="S413" s="1"/>
  <c r="V413" s="1"/>
  <c r="AK412"/>
  <c r="AD412"/>
  <c r="AC412"/>
  <c r="U412"/>
  <c r="AU412" s="1"/>
  <c r="Q412"/>
  <c r="S412" s="1"/>
  <c r="V412" s="1"/>
  <c r="AZ411"/>
  <c r="AC411"/>
  <c r="AK410"/>
  <c r="AD410"/>
  <c r="AC410"/>
  <c r="U410"/>
  <c r="AU410" s="1"/>
  <c r="Q410"/>
  <c r="S410" s="1"/>
  <c r="V410" s="1"/>
  <c r="AZ409"/>
  <c r="AC409"/>
  <c r="AK408"/>
  <c r="AV408" s="1"/>
  <c r="AD408"/>
  <c r="AC408"/>
  <c r="U408"/>
  <c r="AU408" s="1"/>
  <c r="Q408"/>
  <c r="S408" s="1"/>
  <c r="V408" s="1"/>
  <c r="AK407"/>
  <c r="AL407" s="1"/>
  <c r="AD407"/>
  <c r="AC407"/>
  <c r="U407"/>
  <c r="AU407" s="1"/>
  <c r="Q407"/>
  <c r="S407" s="1"/>
  <c r="V407" s="1"/>
  <c r="AZ406"/>
  <c r="AC406"/>
  <c r="AK405"/>
  <c r="AV405" s="1"/>
  <c r="AD405"/>
  <c r="AC405"/>
  <c r="U405"/>
  <c r="AU405" s="1"/>
  <c r="Q405"/>
  <c r="S405" s="1"/>
  <c r="V405" s="1"/>
  <c r="AK404"/>
  <c r="AD404"/>
  <c r="AC404"/>
  <c r="U404"/>
  <c r="AU404" s="1"/>
  <c r="Q404"/>
  <c r="S404" s="1"/>
  <c r="V404" s="1"/>
  <c r="AZ403"/>
  <c r="AC403"/>
  <c r="AK402"/>
  <c r="AV402" s="1"/>
  <c r="AW402" s="1"/>
  <c r="AD402"/>
  <c r="AC402"/>
  <c r="U402"/>
  <c r="AU402" s="1"/>
  <c r="S402"/>
  <c r="V402" s="1"/>
  <c r="Q402"/>
  <c r="AZ401"/>
  <c r="AC401"/>
  <c r="AZ400"/>
  <c r="AC400"/>
  <c r="AK399"/>
  <c r="AD399"/>
  <c r="AC399"/>
  <c r="U399"/>
  <c r="AU399" s="1"/>
  <c r="Q399"/>
  <c r="S399" s="1"/>
  <c r="V399" s="1"/>
  <c r="AK398"/>
  <c r="AD398"/>
  <c r="AC398"/>
  <c r="U398"/>
  <c r="AU398" s="1"/>
  <c r="Q398"/>
  <c r="S398" s="1"/>
  <c r="V398" s="1"/>
  <c r="AZ397"/>
  <c r="AC397"/>
  <c r="AZ396"/>
  <c r="AC396"/>
  <c r="AT395"/>
  <c r="AP395"/>
  <c r="AO395"/>
  <c r="AN395"/>
  <c r="AM395"/>
  <c r="AJ395"/>
  <c r="AI395"/>
  <c r="AH395"/>
  <c r="AG395"/>
  <c r="AF395"/>
  <c r="AE395"/>
  <c r="AB395"/>
  <c r="AA395"/>
  <c r="Y395"/>
  <c r="X395"/>
  <c r="W395"/>
  <c r="T395"/>
  <c r="P395"/>
  <c r="O395"/>
  <c r="N395"/>
  <c r="M395"/>
  <c r="L395"/>
  <c r="AC395" s="1"/>
  <c r="AK394"/>
  <c r="AQ394" s="1"/>
  <c r="AD394"/>
  <c r="AC394"/>
  <c r="U394"/>
  <c r="AU394" s="1"/>
  <c r="Q394"/>
  <c r="R394" s="1"/>
  <c r="AK393"/>
  <c r="AD393"/>
  <c r="AC393"/>
  <c r="U393"/>
  <c r="AU393" s="1"/>
  <c r="Q393"/>
  <c r="S393" s="1"/>
  <c r="V393" s="1"/>
  <c r="AZ392"/>
  <c r="AC392"/>
  <c r="AK391"/>
  <c r="AQ391" s="1"/>
  <c r="AZ391" s="1"/>
  <c r="AD391"/>
  <c r="AC391"/>
  <c r="U391"/>
  <c r="AU391" s="1"/>
  <c r="Q391"/>
  <c r="S391" s="1"/>
  <c r="V391" s="1"/>
  <c r="AZ390"/>
  <c r="AC390"/>
  <c r="V390"/>
  <c r="U390"/>
  <c r="AG389"/>
  <c r="AK389" s="1"/>
  <c r="AF389"/>
  <c r="AD389"/>
  <c r="AC389"/>
  <c r="U389"/>
  <c r="AU389" s="1"/>
  <c r="Q389"/>
  <c r="S389" s="1"/>
  <c r="V389" s="1"/>
  <c r="AK388"/>
  <c r="AD388"/>
  <c r="AC388"/>
  <c r="U388"/>
  <c r="AU388" s="1"/>
  <c r="Q388"/>
  <c r="S388" s="1"/>
  <c r="V388" s="1"/>
  <c r="AZ387"/>
  <c r="AC387"/>
  <c r="AK386"/>
  <c r="AD386"/>
  <c r="AC386"/>
  <c r="U386"/>
  <c r="AU386" s="1"/>
  <c r="Q386"/>
  <c r="S386" s="1"/>
  <c r="V386" s="1"/>
  <c r="AK385"/>
  <c r="AV385" s="1"/>
  <c r="AD385"/>
  <c r="AC385"/>
  <c r="U385"/>
  <c r="AU385" s="1"/>
  <c r="S385"/>
  <c r="V385" s="1"/>
  <c r="Q385"/>
  <c r="AZ384"/>
  <c r="AC384"/>
  <c r="AK383"/>
  <c r="AL383" s="1"/>
  <c r="AD383"/>
  <c r="AC383"/>
  <c r="U383"/>
  <c r="AU383" s="1"/>
  <c r="Q383"/>
  <c r="S383" s="1"/>
  <c r="V383" s="1"/>
  <c r="AK382"/>
  <c r="AV382" s="1"/>
  <c r="AD382"/>
  <c r="AC382"/>
  <c r="U382"/>
  <c r="AU382" s="1"/>
  <c r="Q382"/>
  <c r="S382" s="1"/>
  <c r="V382" s="1"/>
  <c r="AZ381"/>
  <c r="AC381"/>
  <c r="AK380"/>
  <c r="AD380"/>
  <c r="AC380"/>
  <c r="U380"/>
  <c r="AU380" s="1"/>
  <c r="Q380"/>
  <c r="S380" s="1"/>
  <c r="V380" s="1"/>
  <c r="AZ379"/>
  <c r="AC379"/>
  <c r="AZ378"/>
  <c r="AC378"/>
  <c r="AG377"/>
  <c r="AK377" s="1"/>
  <c r="AD377"/>
  <c r="AC377"/>
  <c r="U377"/>
  <c r="AU377" s="1"/>
  <c r="Q377"/>
  <c r="S377" s="1"/>
  <c r="V377" s="1"/>
  <c r="AZ376"/>
  <c r="AC376"/>
  <c r="AZ375"/>
  <c r="AC375"/>
  <c r="AT374"/>
  <c r="AP374"/>
  <c r="AO374"/>
  <c r="AN374"/>
  <c r="AM374"/>
  <c r="AJ374"/>
  <c r="AI374"/>
  <c r="AH374"/>
  <c r="AF374"/>
  <c r="AE374"/>
  <c r="AB374"/>
  <c r="AA374"/>
  <c r="Y374"/>
  <c r="X374"/>
  <c r="W374"/>
  <c r="T374"/>
  <c r="P374"/>
  <c r="Q374" s="1"/>
  <c r="O374"/>
  <c r="N374"/>
  <c r="M374"/>
  <c r="AD374" s="1"/>
  <c r="L374"/>
  <c r="AK373"/>
  <c r="AC373"/>
  <c r="Q373"/>
  <c r="M373"/>
  <c r="U373" s="1"/>
  <c r="AU373" s="1"/>
  <c r="AZ372"/>
  <c r="AC372"/>
  <c r="AK371"/>
  <c r="AV371" s="1"/>
  <c r="AC371"/>
  <c r="Q371"/>
  <c r="M371"/>
  <c r="U371" s="1"/>
  <c r="AU371" s="1"/>
  <c r="AK370"/>
  <c r="AC370"/>
  <c r="Z370"/>
  <c r="Q370"/>
  <c r="M370"/>
  <c r="AD370" s="1"/>
  <c r="AZ369"/>
  <c r="AC369"/>
  <c r="M369"/>
  <c r="AK368"/>
  <c r="AQ368" s="1"/>
  <c r="AC368"/>
  <c r="Q368"/>
  <c r="M368"/>
  <c r="U368" s="1"/>
  <c r="AU368" s="1"/>
  <c r="AZ367"/>
  <c r="AC367"/>
  <c r="V367"/>
  <c r="M367"/>
  <c r="U367" s="1"/>
  <c r="AK366"/>
  <c r="AC366"/>
  <c r="Q366"/>
  <c r="M366"/>
  <c r="AK365"/>
  <c r="AV365" s="1"/>
  <c r="AC365"/>
  <c r="Q365"/>
  <c r="R365" s="1"/>
  <c r="M365"/>
  <c r="AD365" s="1"/>
  <c r="AZ364"/>
  <c r="AC364"/>
  <c r="AV363"/>
  <c r="AK363"/>
  <c r="AQ363" s="1"/>
  <c r="AC363"/>
  <c r="Q363"/>
  <c r="M363"/>
  <c r="U363" s="1"/>
  <c r="AU363" s="1"/>
  <c r="AK362"/>
  <c r="AQ362" s="1"/>
  <c r="AZ362" s="1"/>
  <c r="AC362"/>
  <c r="R362"/>
  <c r="Q362"/>
  <c r="M362"/>
  <c r="AD362" s="1"/>
  <c r="AZ361"/>
  <c r="AC361"/>
  <c r="AK360"/>
  <c r="AV360" s="1"/>
  <c r="AC360"/>
  <c r="Q360"/>
  <c r="M360"/>
  <c r="U360" s="1"/>
  <c r="AU360" s="1"/>
  <c r="AZ359"/>
  <c r="AC359"/>
  <c r="V359"/>
  <c r="M359"/>
  <c r="U359" s="1"/>
  <c r="AK358"/>
  <c r="AV358" s="1"/>
  <c r="AW358" s="1"/>
  <c r="AC358"/>
  <c r="Q358"/>
  <c r="R358" s="1"/>
  <c r="M358"/>
  <c r="U358" s="1"/>
  <c r="AU358" s="1"/>
  <c r="AZ357"/>
  <c r="AC357"/>
  <c r="V357"/>
  <c r="M357"/>
  <c r="U357" s="1"/>
  <c r="AZ356"/>
  <c r="AC356"/>
  <c r="M356"/>
  <c r="AK355"/>
  <c r="AQ355" s="1"/>
  <c r="AZ355" s="1"/>
  <c r="AC355"/>
  <c r="Q355"/>
  <c r="R355" s="1"/>
  <c r="M355"/>
  <c r="AD355" s="1"/>
  <c r="AK354"/>
  <c r="AV354" s="1"/>
  <c r="AC354"/>
  <c r="Q354"/>
  <c r="R354" s="1"/>
  <c r="M354"/>
  <c r="U354" s="1"/>
  <c r="AU354" s="1"/>
  <c r="AZ353"/>
  <c r="AC353"/>
  <c r="AZ352"/>
  <c r="AC352"/>
  <c r="AT351"/>
  <c r="AP351"/>
  <c r="AO351"/>
  <c r="AN351"/>
  <c r="AM351"/>
  <c r="AJ351"/>
  <c r="AI351"/>
  <c r="AH351"/>
  <c r="AG351"/>
  <c r="AF351"/>
  <c r="AE351"/>
  <c r="AB351"/>
  <c r="AA351"/>
  <c r="Z351"/>
  <c r="Y351"/>
  <c r="X351"/>
  <c r="W351"/>
  <c r="T351"/>
  <c r="P351"/>
  <c r="O351"/>
  <c r="N351"/>
  <c r="L351"/>
  <c r="AK350"/>
  <c r="AD350"/>
  <c r="AC350"/>
  <c r="U350"/>
  <c r="AU350" s="1"/>
  <c r="Q350"/>
  <c r="S350" s="1"/>
  <c r="V350" s="1"/>
  <c r="AZ349"/>
  <c r="AC349"/>
  <c r="AZ348"/>
  <c r="AK348"/>
  <c r="AC348"/>
  <c r="U348"/>
  <c r="Q348"/>
  <c r="S348" s="1"/>
  <c r="V348" s="1"/>
  <c r="AK347"/>
  <c r="AV347" s="1"/>
  <c r="AD347"/>
  <c r="AL347" s="1"/>
  <c r="AC347"/>
  <c r="U347"/>
  <c r="AU347" s="1"/>
  <c r="Q347"/>
  <c r="S347" s="1"/>
  <c r="V347" s="1"/>
  <c r="AZ346"/>
  <c r="AC346"/>
  <c r="AK345"/>
  <c r="AD345"/>
  <c r="AC345"/>
  <c r="U345"/>
  <c r="AU345" s="1"/>
  <c r="Q345"/>
  <c r="S345" s="1"/>
  <c r="V345" s="1"/>
  <c r="AZ344"/>
  <c r="AC344"/>
  <c r="AK343"/>
  <c r="AV343" s="1"/>
  <c r="AD343"/>
  <c r="AC343"/>
  <c r="U343"/>
  <c r="AU343" s="1"/>
  <c r="S343"/>
  <c r="V343" s="1"/>
  <c r="Q343"/>
  <c r="AK342"/>
  <c r="AD342"/>
  <c r="AC342"/>
  <c r="U342"/>
  <c r="AU342" s="1"/>
  <c r="Q342"/>
  <c r="S342" s="1"/>
  <c r="V342" s="1"/>
  <c r="AZ341"/>
  <c r="AC341"/>
  <c r="AK340"/>
  <c r="AV340" s="1"/>
  <c r="AD340"/>
  <c r="AC340"/>
  <c r="U340"/>
  <c r="AU340" s="1"/>
  <c r="Q340"/>
  <c r="S340" s="1"/>
  <c r="V340" s="1"/>
  <c r="AZ339"/>
  <c r="AC339"/>
  <c r="AK338"/>
  <c r="AL338" s="1"/>
  <c r="AD338"/>
  <c r="AC338"/>
  <c r="U338"/>
  <c r="AU338" s="1"/>
  <c r="Q338"/>
  <c r="S338" s="1"/>
  <c r="V338" s="1"/>
  <c r="AZ337"/>
  <c r="AC337"/>
  <c r="AL336"/>
  <c r="AK336"/>
  <c r="AV336" s="1"/>
  <c r="AD336"/>
  <c r="AC336"/>
  <c r="U336"/>
  <c r="AU336" s="1"/>
  <c r="AX336" s="1"/>
  <c r="Q336"/>
  <c r="S336" s="1"/>
  <c r="V336" s="1"/>
  <c r="AZ335"/>
  <c r="AC335"/>
  <c r="AZ334"/>
  <c r="AC334"/>
  <c r="AV333"/>
  <c r="AK333"/>
  <c r="AL333" s="1"/>
  <c r="AD333"/>
  <c r="AC333"/>
  <c r="U333"/>
  <c r="AU333" s="1"/>
  <c r="Q333"/>
  <c r="S333" s="1"/>
  <c r="V333" s="1"/>
  <c r="AK332"/>
  <c r="AV332" s="1"/>
  <c r="AD332"/>
  <c r="AC332"/>
  <c r="U332"/>
  <c r="AU332" s="1"/>
  <c r="Q332"/>
  <c r="S332" s="1"/>
  <c r="V332" s="1"/>
  <c r="AZ331"/>
  <c r="AC331"/>
  <c r="AZ330"/>
  <c r="AC330"/>
  <c r="AT329"/>
  <c r="AP329"/>
  <c r="AO329"/>
  <c r="AN329"/>
  <c r="AM329"/>
  <c r="AM290" s="1"/>
  <c r="AJ329"/>
  <c r="AI329"/>
  <c r="AH329"/>
  <c r="AG329"/>
  <c r="AF329"/>
  <c r="AE329"/>
  <c r="AB329"/>
  <c r="AA329"/>
  <c r="AA290" s="1"/>
  <c r="Z329"/>
  <c r="Y329"/>
  <c r="X329"/>
  <c r="W329"/>
  <c r="U329"/>
  <c r="T329"/>
  <c r="P329"/>
  <c r="O329"/>
  <c r="N329"/>
  <c r="M329"/>
  <c r="L329"/>
  <c r="AC329" s="1"/>
  <c r="AK328"/>
  <c r="AV328" s="1"/>
  <c r="AD328"/>
  <c r="AC328"/>
  <c r="U328"/>
  <c r="AU328" s="1"/>
  <c r="Q328"/>
  <c r="S328" s="1"/>
  <c r="V328" s="1"/>
  <c r="AZ327"/>
  <c r="AC327"/>
  <c r="AK326"/>
  <c r="AD326"/>
  <c r="AC326"/>
  <c r="U326"/>
  <c r="AU326" s="1"/>
  <c r="Q326"/>
  <c r="S326" s="1"/>
  <c r="V326" s="1"/>
  <c r="AK325"/>
  <c r="AV325" s="1"/>
  <c r="AD325"/>
  <c r="AC325"/>
  <c r="U325"/>
  <c r="AU325" s="1"/>
  <c r="Q325"/>
  <c r="S325" s="1"/>
  <c r="V325" s="1"/>
  <c r="AZ324"/>
  <c r="AC324"/>
  <c r="AO323"/>
  <c r="AO309" s="1"/>
  <c r="AK323"/>
  <c r="AD323"/>
  <c r="AC323"/>
  <c r="U323"/>
  <c r="AU323" s="1"/>
  <c r="Q323"/>
  <c r="S323" s="1"/>
  <c r="V323" s="1"/>
  <c r="AZ322"/>
  <c r="AC322"/>
  <c r="AK321"/>
  <c r="AD321"/>
  <c r="AC321"/>
  <c r="U321"/>
  <c r="AU321" s="1"/>
  <c r="Q321"/>
  <c r="S321" s="1"/>
  <c r="V321" s="1"/>
  <c r="AK320"/>
  <c r="AV320" s="1"/>
  <c r="AD320"/>
  <c r="AC320"/>
  <c r="U320"/>
  <c r="AU320" s="1"/>
  <c r="S320"/>
  <c r="V320" s="1"/>
  <c r="Q320"/>
  <c r="AZ319"/>
  <c r="AC319"/>
  <c r="AK318"/>
  <c r="AL318" s="1"/>
  <c r="AD318"/>
  <c r="AC318"/>
  <c r="U318"/>
  <c r="AU318" s="1"/>
  <c r="Q318"/>
  <c r="S318" s="1"/>
  <c r="V318" s="1"/>
  <c r="AK317"/>
  <c r="AV317" s="1"/>
  <c r="AD317"/>
  <c r="AC317"/>
  <c r="U317"/>
  <c r="AU317" s="1"/>
  <c r="Q317"/>
  <c r="S317" s="1"/>
  <c r="V317" s="1"/>
  <c r="AZ316"/>
  <c r="AC316"/>
  <c r="AK315"/>
  <c r="AD315"/>
  <c r="AC315"/>
  <c r="U315"/>
  <c r="AU315" s="1"/>
  <c r="Q315"/>
  <c r="S315" s="1"/>
  <c r="V315" s="1"/>
  <c r="AZ314"/>
  <c r="AC314"/>
  <c r="AZ313"/>
  <c r="AC313"/>
  <c r="AK312"/>
  <c r="AV312" s="1"/>
  <c r="AD312"/>
  <c r="AC312"/>
  <c r="U312"/>
  <c r="AU312" s="1"/>
  <c r="Q312"/>
  <c r="S312" s="1"/>
  <c r="V312" s="1"/>
  <c r="AZ311"/>
  <c r="AC311"/>
  <c r="AZ310"/>
  <c r="AC310"/>
  <c r="AT309"/>
  <c r="AP309"/>
  <c r="AN309"/>
  <c r="AM309"/>
  <c r="AJ309"/>
  <c r="AI309"/>
  <c r="AH309"/>
  <c r="AG309"/>
  <c r="AF309"/>
  <c r="AE309"/>
  <c r="AB309"/>
  <c r="AA309"/>
  <c r="Y309"/>
  <c r="X309"/>
  <c r="W309"/>
  <c r="T309"/>
  <c r="P309"/>
  <c r="O309"/>
  <c r="N309"/>
  <c r="M309"/>
  <c r="L309"/>
  <c r="AD308"/>
  <c r="AC308"/>
  <c r="W308"/>
  <c r="AK308" s="1"/>
  <c r="U308"/>
  <c r="AU308" s="1"/>
  <c r="Q308"/>
  <c r="AZ307"/>
  <c r="AC307"/>
  <c r="AK306"/>
  <c r="AV306" s="1"/>
  <c r="AD306"/>
  <c r="AC306"/>
  <c r="U306"/>
  <c r="AU306" s="1"/>
  <c r="Q306"/>
  <c r="S306" s="1"/>
  <c r="V306" s="1"/>
  <c r="AD305"/>
  <c r="AC305"/>
  <c r="W305"/>
  <c r="AK305" s="1"/>
  <c r="U305"/>
  <c r="AU305" s="1"/>
  <c r="Q305"/>
  <c r="R305" s="1"/>
  <c r="AZ304"/>
  <c r="AC304"/>
  <c r="AD303"/>
  <c r="AC303"/>
  <c r="W303"/>
  <c r="AK303" s="1"/>
  <c r="U303"/>
  <c r="AU303" s="1"/>
  <c r="Q303"/>
  <c r="S303" s="1"/>
  <c r="V303" s="1"/>
  <c r="AZ302"/>
  <c r="AC302"/>
  <c r="AK301"/>
  <c r="AL301" s="1"/>
  <c r="AD301"/>
  <c r="AC301"/>
  <c r="U301"/>
  <c r="AU301" s="1"/>
  <c r="R301"/>
  <c r="Q301"/>
  <c r="S301" s="1"/>
  <c r="V301" s="1"/>
  <c r="AZ300"/>
  <c r="AC300"/>
  <c r="V300"/>
  <c r="U300"/>
  <c r="AD299"/>
  <c r="AC299"/>
  <c r="W299"/>
  <c r="AK299" s="1"/>
  <c r="U299"/>
  <c r="AU299" s="1"/>
  <c r="Q299"/>
  <c r="R299" s="1"/>
  <c r="AZ298"/>
  <c r="AC298"/>
  <c r="AK297"/>
  <c r="AV297" s="1"/>
  <c r="AD297"/>
  <c r="AC297"/>
  <c r="U297"/>
  <c r="AU297" s="1"/>
  <c r="AX297" s="1"/>
  <c r="Q297"/>
  <c r="S297" s="1"/>
  <c r="V297" s="1"/>
  <c r="AZ296"/>
  <c r="AC296"/>
  <c r="AZ295"/>
  <c r="AC295"/>
  <c r="AK294"/>
  <c r="AD294"/>
  <c r="AC294"/>
  <c r="U294"/>
  <c r="AU294" s="1"/>
  <c r="Q294"/>
  <c r="S294" s="1"/>
  <c r="V294" s="1"/>
  <c r="AZ293"/>
  <c r="AC293"/>
  <c r="AZ292"/>
  <c r="AC292"/>
  <c r="AT291"/>
  <c r="AP291"/>
  <c r="AO291"/>
  <c r="AN291"/>
  <c r="AM291"/>
  <c r="AJ291"/>
  <c r="AI291"/>
  <c r="AH291"/>
  <c r="AG291"/>
  <c r="AF291"/>
  <c r="AE291"/>
  <c r="AB291"/>
  <c r="AA291"/>
  <c r="Y291"/>
  <c r="X291"/>
  <c r="T291"/>
  <c r="P291"/>
  <c r="P290" s="1"/>
  <c r="O291"/>
  <c r="N291"/>
  <c r="M291"/>
  <c r="L291"/>
  <c r="AI290"/>
  <c r="AK289"/>
  <c r="AV289" s="1"/>
  <c r="AD289"/>
  <c r="AC289"/>
  <c r="U289"/>
  <c r="AU289" s="1"/>
  <c r="Q289"/>
  <c r="S289" s="1"/>
  <c r="V289" s="1"/>
  <c r="AZ288"/>
  <c r="AC288"/>
  <c r="AK287"/>
  <c r="AD287"/>
  <c r="AC287"/>
  <c r="U287"/>
  <c r="AU287" s="1"/>
  <c r="Q287"/>
  <c r="S287" s="1"/>
  <c r="V287" s="1"/>
  <c r="AK286"/>
  <c r="AV286" s="1"/>
  <c r="AD286"/>
  <c r="AC286"/>
  <c r="U286"/>
  <c r="AU286" s="1"/>
  <c r="Q286"/>
  <c r="S286" s="1"/>
  <c r="V286" s="1"/>
  <c r="AZ285"/>
  <c r="AC285"/>
  <c r="AK284"/>
  <c r="AD284"/>
  <c r="AC284"/>
  <c r="U284"/>
  <c r="AU284" s="1"/>
  <c r="Q284"/>
  <c r="S284" s="1"/>
  <c r="V284" s="1"/>
  <c r="AZ283"/>
  <c r="AC283"/>
  <c r="AK282"/>
  <c r="AV282" s="1"/>
  <c r="AD282"/>
  <c r="AL282" s="1"/>
  <c r="AC282"/>
  <c r="U282"/>
  <c r="AU282" s="1"/>
  <c r="Q282"/>
  <c r="S282" s="1"/>
  <c r="V282" s="1"/>
  <c r="AZ281"/>
  <c r="AC281"/>
  <c r="AK280"/>
  <c r="AQ280" s="1"/>
  <c r="AZ280" s="1"/>
  <c r="AD280"/>
  <c r="AC280"/>
  <c r="U280"/>
  <c r="AU280" s="1"/>
  <c r="Q280"/>
  <c r="S280" s="1"/>
  <c r="V280" s="1"/>
  <c r="AK279"/>
  <c r="AV279" s="1"/>
  <c r="AD279"/>
  <c r="AC279"/>
  <c r="U279"/>
  <c r="AU279" s="1"/>
  <c r="Q279"/>
  <c r="S279" s="1"/>
  <c r="V279" s="1"/>
  <c r="AZ278"/>
  <c r="AC278"/>
  <c r="AK277"/>
  <c r="AQ277" s="1"/>
  <c r="AD277"/>
  <c r="AC277"/>
  <c r="U277"/>
  <c r="AU277" s="1"/>
  <c r="Q277"/>
  <c r="S277" s="1"/>
  <c r="V277" s="1"/>
  <c r="AZ276"/>
  <c r="AC276"/>
  <c r="AZ275"/>
  <c r="AC275"/>
  <c r="AK274"/>
  <c r="AV274" s="1"/>
  <c r="AD274"/>
  <c r="AC274"/>
  <c r="U274"/>
  <c r="AU274" s="1"/>
  <c r="S274"/>
  <c r="V274" s="1"/>
  <c r="Q274"/>
  <c r="AZ273"/>
  <c r="AC273"/>
  <c r="AZ272"/>
  <c r="AC272"/>
  <c r="AT271"/>
  <c r="AP271"/>
  <c r="AP270" s="1"/>
  <c r="AO271"/>
  <c r="AN271"/>
  <c r="AM271"/>
  <c r="AM270" s="1"/>
  <c r="AJ271"/>
  <c r="AJ270" s="1"/>
  <c r="AI271"/>
  <c r="AH271"/>
  <c r="AG271"/>
  <c r="AF271"/>
  <c r="AF270" s="1"/>
  <c r="AE271"/>
  <c r="AB271"/>
  <c r="AA271"/>
  <c r="Y271"/>
  <c r="Y270" s="1"/>
  <c r="X271"/>
  <c r="X270" s="1"/>
  <c r="W271"/>
  <c r="T271"/>
  <c r="Q271"/>
  <c r="P271"/>
  <c r="O271"/>
  <c r="O270" s="1"/>
  <c r="N271"/>
  <c r="M271"/>
  <c r="S271" s="1"/>
  <c r="L271"/>
  <c r="AO270"/>
  <c r="AN270"/>
  <c r="AI270"/>
  <c r="AH270"/>
  <c r="AG270"/>
  <c r="AE270"/>
  <c r="AB270"/>
  <c r="AC270" s="1"/>
  <c r="AA270"/>
  <c r="W270"/>
  <c r="P270"/>
  <c r="N270"/>
  <c r="L270"/>
  <c r="AK269"/>
  <c r="AD269"/>
  <c r="AC269"/>
  <c r="U269"/>
  <c r="AU269" s="1"/>
  <c r="Q269"/>
  <c r="S269" s="1"/>
  <c r="V269" s="1"/>
  <c r="AZ268"/>
  <c r="AC268"/>
  <c r="AK267"/>
  <c r="AV267" s="1"/>
  <c r="AD267"/>
  <c r="AC267"/>
  <c r="U267"/>
  <c r="AU267" s="1"/>
  <c r="Q267"/>
  <c r="S267" s="1"/>
  <c r="V267" s="1"/>
  <c r="AK266"/>
  <c r="AQ266" s="1"/>
  <c r="AR266" s="1"/>
  <c r="AD266"/>
  <c r="AC266"/>
  <c r="U266"/>
  <c r="AU266" s="1"/>
  <c r="Q266"/>
  <c r="S266" s="1"/>
  <c r="V266" s="1"/>
  <c r="AZ265"/>
  <c r="AC265"/>
  <c r="AK264"/>
  <c r="AV264" s="1"/>
  <c r="AD264"/>
  <c r="AC264"/>
  <c r="U264"/>
  <c r="AU264" s="1"/>
  <c r="Q264"/>
  <c r="S264" s="1"/>
  <c r="V264" s="1"/>
  <c r="AZ263"/>
  <c r="AC263"/>
  <c r="AK262"/>
  <c r="AQ262" s="1"/>
  <c r="AR262" s="1"/>
  <c r="AD262"/>
  <c r="AC262"/>
  <c r="U262"/>
  <c r="AU262" s="1"/>
  <c r="Q262"/>
  <c r="S262" s="1"/>
  <c r="V262" s="1"/>
  <c r="AZ261"/>
  <c r="AC261"/>
  <c r="AK260"/>
  <c r="AV260" s="1"/>
  <c r="AD260"/>
  <c r="AC260"/>
  <c r="U260"/>
  <c r="AU260" s="1"/>
  <c r="S260"/>
  <c r="V260" s="1"/>
  <c r="Q260"/>
  <c r="AK259"/>
  <c r="AL259" s="1"/>
  <c r="AD259"/>
  <c r="AC259"/>
  <c r="U259"/>
  <c r="AU259" s="1"/>
  <c r="Q259"/>
  <c r="S259" s="1"/>
  <c r="V259" s="1"/>
  <c r="AZ258"/>
  <c r="AC258"/>
  <c r="AH257"/>
  <c r="AD257"/>
  <c r="AC257"/>
  <c r="U257"/>
  <c r="AU257" s="1"/>
  <c r="Q257"/>
  <c r="S257" s="1"/>
  <c r="V257" s="1"/>
  <c r="AZ256"/>
  <c r="AC256"/>
  <c r="AK255"/>
  <c r="AV255" s="1"/>
  <c r="AD255"/>
  <c r="AC255"/>
  <c r="U255"/>
  <c r="AU255" s="1"/>
  <c r="S255"/>
  <c r="V255" s="1"/>
  <c r="Q255"/>
  <c r="AZ254"/>
  <c r="AC254"/>
  <c r="AZ253"/>
  <c r="AC253"/>
  <c r="AQ252"/>
  <c r="AR252" s="1"/>
  <c r="AK252"/>
  <c r="AD252"/>
  <c r="AC252"/>
  <c r="U252"/>
  <c r="AU252" s="1"/>
  <c r="Q252"/>
  <c r="S252" s="1"/>
  <c r="V252" s="1"/>
  <c r="AQ251"/>
  <c r="AZ251" s="1"/>
  <c r="AK251"/>
  <c r="AV251" s="1"/>
  <c r="AD251"/>
  <c r="AC251"/>
  <c r="U251"/>
  <c r="AU251" s="1"/>
  <c r="Q251"/>
  <c r="S251" s="1"/>
  <c r="V251" s="1"/>
  <c r="AZ250"/>
  <c r="AC250"/>
  <c r="AZ249"/>
  <c r="AC249"/>
  <c r="AT248"/>
  <c r="AP248"/>
  <c r="AO248"/>
  <c r="AN248"/>
  <c r="AM248"/>
  <c r="AJ248"/>
  <c r="AI248"/>
  <c r="AG248"/>
  <c r="AF248"/>
  <c r="AE248"/>
  <c r="AE192" s="1"/>
  <c r="AB248"/>
  <c r="AA248"/>
  <c r="Y248"/>
  <c r="X248"/>
  <c r="X192" s="1"/>
  <c r="W248"/>
  <c r="T248"/>
  <c r="P248"/>
  <c r="O248"/>
  <c r="N248"/>
  <c r="Q248" s="1"/>
  <c r="M248"/>
  <c r="L248"/>
  <c r="AC248" s="1"/>
  <c r="AK247"/>
  <c r="AD247"/>
  <c r="AC247"/>
  <c r="U247"/>
  <c r="AU247" s="1"/>
  <c r="Q247"/>
  <c r="S247" s="1"/>
  <c r="V247" s="1"/>
  <c r="AZ246"/>
  <c r="AC246"/>
  <c r="AK245"/>
  <c r="AV245" s="1"/>
  <c r="AD245"/>
  <c r="AC245"/>
  <c r="U245"/>
  <c r="AU245" s="1"/>
  <c r="S245"/>
  <c r="V245" s="1"/>
  <c r="Q245"/>
  <c r="AK244"/>
  <c r="AL244" s="1"/>
  <c r="AD244"/>
  <c r="AC244"/>
  <c r="U244"/>
  <c r="AU244" s="1"/>
  <c r="Q244"/>
  <c r="S244" s="1"/>
  <c r="V244" s="1"/>
  <c r="AZ243"/>
  <c r="AC243"/>
  <c r="AK242"/>
  <c r="AV242" s="1"/>
  <c r="AD242"/>
  <c r="AC242"/>
  <c r="U242"/>
  <c r="AU242" s="1"/>
  <c r="AX242" s="1"/>
  <c r="S242"/>
  <c r="V242" s="1"/>
  <c r="Q242"/>
  <c r="AZ241"/>
  <c r="AC241"/>
  <c r="AK240"/>
  <c r="AL240" s="1"/>
  <c r="AD240"/>
  <c r="AC240"/>
  <c r="U240"/>
  <c r="AU240" s="1"/>
  <c r="Q240"/>
  <c r="S240" s="1"/>
  <c r="V240" s="1"/>
  <c r="AK239"/>
  <c r="AD239"/>
  <c r="AC239"/>
  <c r="U239"/>
  <c r="AU239" s="1"/>
  <c r="Q239"/>
  <c r="S239" s="1"/>
  <c r="V239" s="1"/>
  <c r="AZ238"/>
  <c r="AC238"/>
  <c r="AK237"/>
  <c r="AV237" s="1"/>
  <c r="AW237" s="1"/>
  <c r="AD237"/>
  <c r="AC237"/>
  <c r="U237"/>
  <c r="AU237" s="1"/>
  <c r="S237"/>
  <c r="V237" s="1"/>
  <c r="Q237"/>
  <c r="AK236"/>
  <c r="AV236" s="1"/>
  <c r="AD236"/>
  <c r="AC236"/>
  <c r="U236"/>
  <c r="AU236" s="1"/>
  <c r="Q236"/>
  <c r="S236" s="1"/>
  <c r="V236" s="1"/>
  <c r="AZ235"/>
  <c r="AC235"/>
  <c r="AK234"/>
  <c r="AQ234" s="1"/>
  <c r="AD234"/>
  <c r="AC234"/>
  <c r="U234"/>
  <c r="AU234" s="1"/>
  <c r="Q234"/>
  <c r="S234" s="1"/>
  <c r="V234" s="1"/>
  <c r="AZ233"/>
  <c r="AC233"/>
  <c r="AK232"/>
  <c r="AD232"/>
  <c r="AC232"/>
  <c r="U232"/>
  <c r="AU232" s="1"/>
  <c r="Q232"/>
  <c r="S232" s="1"/>
  <c r="V232" s="1"/>
  <c r="AZ231"/>
  <c r="AC231"/>
  <c r="AZ230"/>
  <c r="AC230"/>
  <c r="AK229"/>
  <c r="AQ229" s="1"/>
  <c r="AD229"/>
  <c r="AC229"/>
  <c r="U229"/>
  <c r="AU229" s="1"/>
  <c r="S229"/>
  <c r="V229" s="1"/>
  <c r="Q229"/>
  <c r="AK228"/>
  <c r="AV228" s="1"/>
  <c r="AD228"/>
  <c r="AC228"/>
  <c r="U228"/>
  <c r="AU228" s="1"/>
  <c r="Q228"/>
  <c r="S228" s="1"/>
  <c r="V228" s="1"/>
  <c r="AZ227"/>
  <c r="AC227"/>
  <c r="AZ226"/>
  <c r="AC226"/>
  <c r="AT225"/>
  <c r="AP225"/>
  <c r="AO225"/>
  <c r="AN226" s="1"/>
  <c r="AN225"/>
  <c r="AM225"/>
  <c r="AK225"/>
  <c r="AJ225"/>
  <c r="AI225"/>
  <c r="AH225"/>
  <c r="AG225"/>
  <c r="AF225"/>
  <c r="AE225"/>
  <c r="AB225"/>
  <c r="AA225"/>
  <c r="Y225"/>
  <c r="X225"/>
  <c r="W225"/>
  <c r="T225"/>
  <c r="P225"/>
  <c r="O225"/>
  <c r="N225"/>
  <c r="M225"/>
  <c r="L225"/>
  <c r="AK224"/>
  <c r="AV224" s="1"/>
  <c r="AD224"/>
  <c r="AC224"/>
  <c r="U224"/>
  <c r="AU224" s="1"/>
  <c r="Q224"/>
  <c r="S224" s="1"/>
  <c r="V224" s="1"/>
  <c r="AZ223"/>
  <c r="AC223"/>
  <c r="AZ222"/>
  <c r="AC222"/>
  <c r="AT221"/>
  <c r="AP221"/>
  <c r="AO221"/>
  <c r="AN221"/>
  <c r="AM221"/>
  <c r="AK221"/>
  <c r="AV221" s="1"/>
  <c r="AJ221"/>
  <c r="AI221"/>
  <c r="AH221"/>
  <c r="AG221"/>
  <c r="AF221"/>
  <c r="AE221"/>
  <c r="AB221"/>
  <c r="AA221"/>
  <c r="AA192" s="1"/>
  <c r="Y221"/>
  <c r="X221"/>
  <c r="W221"/>
  <c r="T221"/>
  <c r="P221"/>
  <c r="O221"/>
  <c r="N221"/>
  <c r="Q221" s="1"/>
  <c r="M221"/>
  <c r="M192" s="1"/>
  <c r="L221"/>
  <c r="AK220"/>
  <c r="AV220" s="1"/>
  <c r="AD220"/>
  <c r="AC220"/>
  <c r="U220"/>
  <c r="AU220" s="1"/>
  <c r="Q220"/>
  <c r="S220" s="1"/>
  <c r="V220" s="1"/>
  <c r="AZ219"/>
  <c r="AC219"/>
  <c r="AH218"/>
  <c r="AK218" s="1"/>
  <c r="AD218"/>
  <c r="AC218"/>
  <c r="U218"/>
  <c r="AU218" s="1"/>
  <c r="Q218"/>
  <c r="S218" s="1"/>
  <c r="V218" s="1"/>
  <c r="AZ217"/>
  <c r="AC217"/>
  <c r="AK216"/>
  <c r="AV216" s="1"/>
  <c r="AD216"/>
  <c r="AC216"/>
  <c r="U216"/>
  <c r="AU216" s="1"/>
  <c r="S216"/>
  <c r="V216" s="1"/>
  <c r="Q216"/>
  <c r="AZ215"/>
  <c r="AC215"/>
  <c r="AV214"/>
  <c r="AK214"/>
  <c r="AL214" s="1"/>
  <c r="AD214"/>
  <c r="AC214"/>
  <c r="U214"/>
  <c r="AU214" s="1"/>
  <c r="Q214"/>
  <c r="S214" s="1"/>
  <c r="V214" s="1"/>
  <c r="AK213"/>
  <c r="AV213" s="1"/>
  <c r="AD213"/>
  <c r="AL213" s="1"/>
  <c r="AC213"/>
  <c r="U213"/>
  <c r="AU213" s="1"/>
  <c r="AX213" s="1"/>
  <c r="Q213"/>
  <c r="S213" s="1"/>
  <c r="V213" s="1"/>
  <c r="AZ212"/>
  <c r="AC212"/>
  <c r="AK211"/>
  <c r="AD211"/>
  <c r="AC211"/>
  <c r="U211"/>
  <c r="AU211" s="1"/>
  <c r="Q211"/>
  <c r="S211" s="1"/>
  <c r="V211" s="1"/>
  <c r="AZ210"/>
  <c r="AC210"/>
  <c r="AK209"/>
  <c r="AD209"/>
  <c r="AC209"/>
  <c r="U209"/>
  <c r="AU209" s="1"/>
  <c r="Q209"/>
  <c r="S209" s="1"/>
  <c r="V209" s="1"/>
  <c r="AZ208"/>
  <c r="AC208"/>
  <c r="AK207"/>
  <c r="AV207" s="1"/>
  <c r="AD207"/>
  <c r="AC207"/>
  <c r="U207"/>
  <c r="AU207" s="1"/>
  <c r="Q207"/>
  <c r="S207" s="1"/>
  <c r="V207" s="1"/>
  <c r="AZ206"/>
  <c r="AC206"/>
  <c r="AZ205"/>
  <c r="AC205"/>
  <c r="AL204"/>
  <c r="AK204"/>
  <c r="AV204" s="1"/>
  <c r="AD204"/>
  <c r="AC204"/>
  <c r="U204"/>
  <c r="AU204" s="1"/>
  <c r="AX204" s="1"/>
  <c r="Q204"/>
  <c r="S204" s="1"/>
  <c r="V204" s="1"/>
  <c r="AK203"/>
  <c r="AD203"/>
  <c r="AC203"/>
  <c r="U203"/>
  <c r="AU203" s="1"/>
  <c r="Q203"/>
  <c r="S203" s="1"/>
  <c r="V203" s="1"/>
  <c r="AZ202"/>
  <c r="AC202"/>
  <c r="AZ201"/>
  <c r="AC201"/>
  <c r="AT200"/>
  <c r="AP200"/>
  <c r="AO200"/>
  <c r="AN200"/>
  <c r="AM200"/>
  <c r="AJ200"/>
  <c r="AI200"/>
  <c r="AH200"/>
  <c r="AG200"/>
  <c r="AF200"/>
  <c r="AE200"/>
  <c r="AB200"/>
  <c r="AA200"/>
  <c r="Y200"/>
  <c r="X200"/>
  <c r="W200"/>
  <c r="T200"/>
  <c r="P200"/>
  <c r="O200"/>
  <c r="N200"/>
  <c r="Q200" s="1"/>
  <c r="M200"/>
  <c r="L200"/>
  <c r="AZ199"/>
  <c r="AC199"/>
  <c r="AO198"/>
  <c r="AK198"/>
  <c r="AD198"/>
  <c r="AC198"/>
  <c r="U198"/>
  <c r="AU198" s="1"/>
  <c r="Q198"/>
  <c r="S198" s="1"/>
  <c r="V198" s="1"/>
  <c r="AZ197"/>
  <c r="AC197"/>
  <c r="AK196"/>
  <c r="AV196" s="1"/>
  <c r="AD196"/>
  <c r="AC196"/>
  <c r="U196"/>
  <c r="AU196" s="1"/>
  <c r="Q196"/>
  <c r="S196" s="1"/>
  <c r="V196" s="1"/>
  <c r="AZ195"/>
  <c r="AC195"/>
  <c r="AZ194"/>
  <c r="AC194"/>
  <c r="AP193"/>
  <c r="AO193"/>
  <c r="AO192" s="1"/>
  <c r="AN193"/>
  <c r="AM193"/>
  <c r="AK193"/>
  <c r="AJ193"/>
  <c r="AI193"/>
  <c r="AH193"/>
  <c r="AG193"/>
  <c r="AF193"/>
  <c r="AE193"/>
  <c r="AB193"/>
  <c r="AA193"/>
  <c r="Y193"/>
  <c r="X193"/>
  <c r="W193"/>
  <c r="T193"/>
  <c r="P193"/>
  <c r="O193"/>
  <c r="N193"/>
  <c r="M193"/>
  <c r="L193"/>
  <c r="AI192"/>
  <c r="O192"/>
  <c r="AG191"/>
  <c r="AK191" s="1"/>
  <c r="AV191" s="1"/>
  <c r="AW191" s="1"/>
  <c r="AD191"/>
  <c r="AC191"/>
  <c r="U191"/>
  <c r="AU191" s="1"/>
  <c r="S191"/>
  <c r="V191" s="1"/>
  <c r="Q191"/>
  <c r="AK190"/>
  <c r="AL190" s="1"/>
  <c r="AG190"/>
  <c r="AD190"/>
  <c r="AC190"/>
  <c r="U190"/>
  <c r="AU190" s="1"/>
  <c r="Q190"/>
  <c r="R190" s="1"/>
  <c r="AZ189"/>
  <c r="AC189"/>
  <c r="AK188"/>
  <c r="AV188" s="1"/>
  <c r="AD188"/>
  <c r="AC188"/>
  <c r="U188"/>
  <c r="AU188" s="1"/>
  <c r="S188"/>
  <c r="V188" s="1"/>
  <c r="Q188"/>
  <c r="AZ187"/>
  <c r="AC187"/>
  <c r="AK186"/>
  <c r="AL186" s="1"/>
  <c r="AD186"/>
  <c r="AC186"/>
  <c r="U186"/>
  <c r="AU186" s="1"/>
  <c r="Q186"/>
  <c r="S186" s="1"/>
  <c r="V186" s="1"/>
  <c r="AZ185"/>
  <c r="AC185"/>
  <c r="AK184"/>
  <c r="AD184"/>
  <c r="AC184"/>
  <c r="U184"/>
  <c r="AU184" s="1"/>
  <c r="Q184"/>
  <c r="S184" s="1"/>
  <c r="V184" s="1"/>
  <c r="AK183"/>
  <c r="AD183"/>
  <c r="AC183"/>
  <c r="U183"/>
  <c r="AU183" s="1"/>
  <c r="Q183"/>
  <c r="S183" s="1"/>
  <c r="V183" s="1"/>
  <c r="AZ182"/>
  <c r="AC182"/>
  <c r="AK181"/>
  <c r="AV181" s="1"/>
  <c r="AD181"/>
  <c r="AL181" s="1"/>
  <c r="AC181"/>
  <c r="U181"/>
  <c r="AU181" s="1"/>
  <c r="Q181"/>
  <c r="S181" s="1"/>
  <c r="V181" s="1"/>
  <c r="AK180"/>
  <c r="AL180" s="1"/>
  <c r="AD180"/>
  <c r="AC180"/>
  <c r="U180"/>
  <c r="AU180" s="1"/>
  <c r="Q180"/>
  <c r="S180" s="1"/>
  <c r="V180" s="1"/>
  <c r="AK179"/>
  <c r="AV179" s="1"/>
  <c r="AD179"/>
  <c r="AC179"/>
  <c r="U179"/>
  <c r="AU179" s="1"/>
  <c r="Q179"/>
  <c r="S179" s="1"/>
  <c r="V179" s="1"/>
  <c r="AZ178"/>
  <c r="AC178"/>
  <c r="AK177"/>
  <c r="AL177" s="1"/>
  <c r="AD177"/>
  <c r="AC177"/>
  <c r="U177"/>
  <c r="AU177" s="1"/>
  <c r="Q177"/>
  <c r="R177" s="1"/>
  <c r="AK176"/>
  <c r="AV176" s="1"/>
  <c r="AD176"/>
  <c r="AC176"/>
  <c r="U176"/>
  <c r="AU176" s="1"/>
  <c r="AX176" s="1"/>
  <c r="Q176"/>
  <c r="S176" s="1"/>
  <c r="V176" s="1"/>
  <c r="AZ175"/>
  <c r="AC175"/>
  <c r="V175"/>
  <c r="U175"/>
  <c r="AZ174"/>
  <c r="AC174"/>
  <c r="AK173"/>
  <c r="AV173" s="1"/>
  <c r="AD173"/>
  <c r="AC173"/>
  <c r="U173"/>
  <c r="AU173" s="1"/>
  <c r="Q173"/>
  <c r="S173" s="1"/>
  <c r="V173" s="1"/>
  <c r="AZ172"/>
  <c r="AC172"/>
  <c r="AK171"/>
  <c r="AV171" s="1"/>
  <c r="AD171"/>
  <c r="AC171"/>
  <c r="U171"/>
  <c r="AU171" s="1"/>
  <c r="S171"/>
  <c r="V171" s="1"/>
  <c r="Q171"/>
  <c r="AZ170"/>
  <c r="AC170"/>
  <c r="AZ169"/>
  <c r="AC169"/>
  <c r="AT168"/>
  <c r="AP168"/>
  <c r="AO168"/>
  <c r="AN168"/>
  <c r="AM170" s="1"/>
  <c r="AM168"/>
  <c r="AI168"/>
  <c r="AH168"/>
  <c r="AG168"/>
  <c r="AF168"/>
  <c r="AE168"/>
  <c r="AB168"/>
  <c r="AA168"/>
  <c r="Y168"/>
  <c r="Y154" s="1"/>
  <c r="X168"/>
  <c r="W168"/>
  <c r="T168"/>
  <c r="P168"/>
  <c r="O168"/>
  <c r="N168"/>
  <c r="M168"/>
  <c r="L168"/>
  <c r="AM167"/>
  <c r="AK167"/>
  <c r="AQ167" s="1"/>
  <c r="AZ167" s="1"/>
  <c r="AD167"/>
  <c r="AC167"/>
  <c r="U167"/>
  <c r="AU167" s="1"/>
  <c r="Q167"/>
  <c r="S167" s="1"/>
  <c r="V167" s="1"/>
  <c r="AG166"/>
  <c r="AD166"/>
  <c r="AC166"/>
  <c r="U166"/>
  <c r="AU166" s="1"/>
  <c r="Q166"/>
  <c r="R166" s="1"/>
  <c r="AZ165"/>
  <c r="AC165"/>
  <c r="AK164"/>
  <c r="AV164" s="1"/>
  <c r="AD164"/>
  <c r="AC164"/>
  <c r="U164"/>
  <c r="AU164" s="1"/>
  <c r="AX164" s="1"/>
  <c r="Q164"/>
  <c r="S164" s="1"/>
  <c r="V164" s="1"/>
  <c r="AZ163"/>
  <c r="AC163"/>
  <c r="AK162"/>
  <c r="AD162"/>
  <c r="AC162"/>
  <c r="U162"/>
  <c r="AU162" s="1"/>
  <c r="Q162"/>
  <c r="S162" s="1"/>
  <c r="V162" s="1"/>
  <c r="AK161"/>
  <c r="AV161" s="1"/>
  <c r="AD161"/>
  <c r="AC161"/>
  <c r="U161"/>
  <c r="AU161" s="1"/>
  <c r="Q161"/>
  <c r="S161" s="1"/>
  <c r="V161" s="1"/>
  <c r="AZ160"/>
  <c r="AC160"/>
  <c r="AK159"/>
  <c r="AL159" s="1"/>
  <c r="AD159"/>
  <c r="AC159"/>
  <c r="U159"/>
  <c r="AU159" s="1"/>
  <c r="S159"/>
  <c r="V159" s="1"/>
  <c r="Q159"/>
  <c r="R159" s="1"/>
  <c r="AK158"/>
  <c r="AD158"/>
  <c r="AC158"/>
  <c r="U158"/>
  <c r="AU158" s="1"/>
  <c r="R158"/>
  <c r="Q158"/>
  <c r="S158" s="1"/>
  <c r="V158" s="1"/>
  <c r="AZ157"/>
  <c r="AC157"/>
  <c r="AC156"/>
  <c r="AT155"/>
  <c r="AP155"/>
  <c r="AO155"/>
  <c r="AO154" s="1"/>
  <c r="AN155"/>
  <c r="AN154" s="1"/>
  <c r="AM155"/>
  <c r="AJ155"/>
  <c r="AI155"/>
  <c r="AH155"/>
  <c r="AF155"/>
  <c r="AE155"/>
  <c r="AB155"/>
  <c r="AA155"/>
  <c r="Y155"/>
  <c r="X155"/>
  <c r="W155"/>
  <c r="T155"/>
  <c r="P155"/>
  <c r="O155"/>
  <c r="N155"/>
  <c r="M155"/>
  <c r="L155"/>
  <c r="AC155" s="1"/>
  <c r="AP154"/>
  <c r="AJ154"/>
  <c r="AH154"/>
  <c r="AF154"/>
  <c r="AB154"/>
  <c r="W154"/>
  <c r="AK153"/>
  <c r="AL153" s="1"/>
  <c r="AD153"/>
  <c r="AC153"/>
  <c r="U153"/>
  <c r="AU153" s="1"/>
  <c r="Q153"/>
  <c r="S153" s="1"/>
  <c r="V153" s="1"/>
  <c r="AK152"/>
  <c r="AD152"/>
  <c r="AC152"/>
  <c r="U152"/>
  <c r="AU152" s="1"/>
  <c r="Q152"/>
  <c r="S152" s="1"/>
  <c r="V152" s="1"/>
  <c r="AZ151"/>
  <c r="AC151"/>
  <c r="AK150"/>
  <c r="AK137" s="1"/>
  <c r="AD150"/>
  <c r="AC150"/>
  <c r="U150"/>
  <c r="AU150" s="1"/>
  <c r="S150"/>
  <c r="V150" s="1"/>
  <c r="Q150"/>
  <c r="R150" s="1"/>
  <c r="AZ149"/>
  <c r="AC149"/>
  <c r="AK148"/>
  <c r="AD148"/>
  <c r="AC148"/>
  <c r="U148"/>
  <c r="AU148" s="1"/>
  <c r="Q148"/>
  <c r="S148" s="1"/>
  <c r="V148" s="1"/>
  <c r="AK147"/>
  <c r="AD147"/>
  <c r="AC147"/>
  <c r="U147"/>
  <c r="AU147" s="1"/>
  <c r="Q147"/>
  <c r="AZ146"/>
  <c r="AC146"/>
  <c r="AK145"/>
  <c r="AD145"/>
  <c r="AC145"/>
  <c r="U145"/>
  <c r="AU145" s="1"/>
  <c r="Q145"/>
  <c r="AZ144"/>
  <c r="AC144"/>
  <c r="AZ143"/>
  <c r="AC143"/>
  <c r="AK142"/>
  <c r="AD142"/>
  <c r="AC142"/>
  <c r="U142"/>
  <c r="AU142" s="1"/>
  <c r="Q142"/>
  <c r="S142" s="1"/>
  <c r="V142" s="1"/>
  <c r="AZ141"/>
  <c r="AC141"/>
  <c r="AL140"/>
  <c r="AK140"/>
  <c r="AV140" s="1"/>
  <c r="AD140"/>
  <c r="AC140"/>
  <c r="U140"/>
  <c r="AU140" s="1"/>
  <c r="AX140" s="1"/>
  <c r="Q140"/>
  <c r="R140" s="1"/>
  <c r="AZ139"/>
  <c r="AC139"/>
  <c r="AZ138"/>
  <c r="AC138"/>
  <c r="AT137"/>
  <c r="AP137"/>
  <c r="AO137"/>
  <c r="AO136" s="1"/>
  <c r="AN137"/>
  <c r="AM137"/>
  <c r="AM136" s="1"/>
  <c r="AJ137"/>
  <c r="AJ136" s="1"/>
  <c r="AI137"/>
  <c r="AI136" s="1"/>
  <c r="AH137"/>
  <c r="AG137"/>
  <c r="AG136" s="1"/>
  <c r="AF137"/>
  <c r="AF136" s="1"/>
  <c r="AE137"/>
  <c r="AE136" s="1"/>
  <c r="AB137"/>
  <c r="AA137"/>
  <c r="Y137"/>
  <c r="Y136" s="1"/>
  <c r="X137"/>
  <c r="X136" s="1"/>
  <c r="W137"/>
  <c r="T137"/>
  <c r="P137"/>
  <c r="P136" s="1"/>
  <c r="O137"/>
  <c r="N137"/>
  <c r="M137"/>
  <c r="L137"/>
  <c r="AC137" s="1"/>
  <c r="AP136"/>
  <c r="AN136"/>
  <c r="AH136"/>
  <c r="AB136"/>
  <c r="W136"/>
  <c r="O136"/>
  <c r="N136"/>
  <c r="M136"/>
  <c r="AK135"/>
  <c r="AV135" s="1"/>
  <c r="AD135"/>
  <c r="AC135"/>
  <c r="U135"/>
  <c r="AU135" s="1"/>
  <c r="Q135"/>
  <c r="R135" s="1"/>
  <c r="AZ134"/>
  <c r="AC134"/>
  <c r="AD133"/>
  <c r="AC133"/>
  <c r="U133"/>
  <c r="AU133" s="1"/>
  <c r="N133"/>
  <c r="AK133" s="1"/>
  <c r="AZ132"/>
  <c r="AC132"/>
  <c r="AK131"/>
  <c r="AD131"/>
  <c r="AC131"/>
  <c r="U131"/>
  <c r="AU131" s="1"/>
  <c r="R131"/>
  <c r="Q131"/>
  <c r="S131" s="1"/>
  <c r="V131" s="1"/>
  <c r="AZ130"/>
  <c r="AC130"/>
  <c r="AK129"/>
  <c r="AQ129" s="1"/>
  <c r="AZ129" s="1"/>
  <c r="AD129"/>
  <c r="AC129"/>
  <c r="U129"/>
  <c r="AU129" s="1"/>
  <c r="Q129"/>
  <c r="S129" s="1"/>
  <c r="V129" s="1"/>
  <c r="AZ128"/>
  <c r="AC128"/>
  <c r="AZ127"/>
  <c r="AC127"/>
  <c r="AD126"/>
  <c r="AC126"/>
  <c r="U126"/>
  <c r="AU126" s="1"/>
  <c r="N126"/>
  <c r="AK126" s="1"/>
  <c r="AZ125"/>
  <c r="AC125"/>
  <c r="AZ124"/>
  <c r="AC124"/>
  <c r="AT123"/>
  <c r="AP123"/>
  <c r="AP122" s="1"/>
  <c r="AO123"/>
  <c r="AN123"/>
  <c r="AN122" s="1"/>
  <c r="AM123"/>
  <c r="AJ123"/>
  <c r="AJ122" s="1"/>
  <c r="AI123"/>
  <c r="AH123"/>
  <c r="AH122" s="1"/>
  <c r="AG123"/>
  <c r="AF123"/>
  <c r="AF122" s="1"/>
  <c r="AE123"/>
  <c r="AB123"/>
  <c r="AA123"/>
  <c r="Y123"/>
  <c r="Y122" s="1"/>
  <c r="X123"/>
  <c r="W123"/>
  <c r="W122" s="1"/>
  <c r="T123"/>
  <c r="P123"/>
  <c r="O123"/>
  <c r="O122" s="1"/>
  <c r="M123"/>
  <c r="AD123" s="1"/>
  <c r="L123"/>
  <c r="AO122"/>
  <c r="AM122"/>
  <c r="AI122"/>
  <c r="AG122"/>
  <c r="AE122"/>
  <c r="AA122"/>
  <c r="X122"/>
  <c r="T122"/>
  <c r="P122"/>
  <c r="L122"/>
  <c r="AO121"/>
  <c r="AO118" s="1"/>
  <c r="AM121"/>
  <c r="AG121"/>
  <c r="AK121" s="1"/>
  <c r="AD121"/>
  <c r="AC121"/>
  <c r="U121"/>
  <c r="AU121" s="1"/>
  <c r="Q121"/>
  <c r="S121" s="1"/>
  <c r="V121" s="1"/>
  <c r="AZ120"/>
  <c r="AC120"/>
  <c r="AZ119"/>
  <c r="AC119"/>
  <c r="AT118"/>
  <c r="AP118"/>
  <c r="AN118"/>
  <c r="AM118"/>
  <c r="AJ118"/>
  <c r="AI118"/>
  <c r="AH118"/>
  <c r="AF118"/>
  <c r="AE118"/>
  <c r="AB118"/>
  <c r="AA118"/>
  <c r="Y118"/>
  <c r="X118"/>
  <c r="W118"/>
  <c r="U118"/>
  <c r="T118"/>
  <c r="P118"/>
  <c r="O118"/>
  <c r="N118"/>
  <c r="M118"/>
  <c r="L118"/>
  <c r="AO117"/>
  <c r="AG117"/>
  <c r="AD117"/>
  <c r="AC117"/>
  <c r="W117"/>
  <c r="AK117" s="1"/>
  <c r="U117"/>
  <c r="AU117" s="1"/>
  <c r="N117"/>
  <c r="N114" s="1"/>
  <c r="AZ116"/>
  <c r="AC116"/>
  <c r="AZ115"/>
  <c r="AC115"/>
  <c r="AP114"/>
  <c r="AO114"/>
  <c r="AN114"/>
  <c r="AM114"/>
  <c r="AJ114"/>
  <c r="AI114"/>
  <c r="AH114"/>
  <c r="AG114"/>
  <c r="AF114"/>
  <c r="AE114"/>
  <c r="AB114"/>
  <c r="Y114"/>
  <c r="X114"/>
  <c r="W114"/>
  <c r="T114"/>
  <c r="P114"/>
  <c r="O114"/>
  <c r="M114"/>
  <c r="U114" s="1"/>
  <c r="L114"/>
  <c r="AK113"/>
  <c r="AL113" s="1"/>
  <c r="AD113"/>
  <c r="AC113"/>
  <c r="U113"/>
  <c r="AU113" s="1"/>
  <c r="Q113"/>
  <c r="S113" s="1"/>
  <c r="V113" s="1"/>
  <c r="AZ112"/>
  <c r="AC112"/>
  <c r="AZ111"/>
  <c r="AC111"/>
  <c r="AP110"/>
  <c r="AO110"/>
  <c r="AN110"/>
  <c r="AM110"/>
  <c r="AJ110"/>
  <c r="AI110"/>
  <c r="AH110"/>
  <c r="AG110"/>
  <c r="AF110"/>
  <c r="AE110"/>
  <c r="AB110"/>
  <c r="AA110"/>
  <c r="Z110"/>
  <c r="Y110"/>
  <c r="X110"/>
  <c r="W110"/>
  <c r="T110"/>
  <c r="P110"/>
  <c r="O110"/>
  <c r="N110"/>
  <c r="M110"/>
  <c r="L110"/>
  <c r="AG109"/>
  <c r="AD109"/>
  <c r="AC109"/>
  <c r="W109"/>
  <c r="AK109" s="1"/>
  <c r="U109"/>
  <c r="AU109" s="1"/>
  <c r="Q109"/>
  <c r="S109" s="1"/>
  <c r="V109" s="1"/>
  <c r="AK108"/>
  <c r="AQ108" s="1"/>
  <c r="AZ108" s="1"/>
  <c r="AD108"/>
  <c r="AC108"/>
  <c r="U108"/>
  <c r="AU108" s="1"/>
  <c r="Q108"/>
  <c r="S108" s="1"/>
  <c r="V108" s="1"/>
  <c r="AO107"/>
  <c r="AJ107"/>
  <c r="AG107"/>
  <c r="AD107"/>
  <c r="AC107"/>
  <c r="W107"/>
  <c r="U107"/>
  <c r="AU107" s="1"/>
  <c r="N107"/>
  <c r="Q107" s="1"/>
  <c r="AO106"/>
  <c r="AO102" s="1"/>
  <c r="AG106"/>
  <c r="AD106"/>
  <c r="AC106"/>
  <c r="W106"/>
  <c r="AK106" s="1"/>
  <c r="U106"/>
  <c r="AU106" s="1"/>
  <c r="Q106"/>
  <c r="S106" s="1"/>
  <c r="V106" s="1"/>
  <c r="AO105"/>
  <c r="AJ105"/>
  <c r="AJ102" s="1"/>
  <c r="AG105"/>
  <c r="AD105"/>
  <c r="AC105"/>
  <c r="W105"/>
  <c r="AK105" s="1"/>
  <c r="U105"/>
  <c r="AU105" s="1"/>
  <c r="N105"/>
  <c r="Q105" s="1"/>
  <c r="AQ104"/>
  <c r="AZ104" s="1"/>
  <c r="AC104"/>
  <c r="AQ103"/>
  <c r="AZ103" s="1"/>
  <c r="AC103"/>
  <c r="AP102"/>
  <c r="AP87" s="1"/>
  <c r="AN102"/>
  <c r="AM102"/>
  <c r="AI102"/>
  <c r="AH102"/>
  <c r="AG102"/>
  <c r="AF102"/>
  <c r="AE102"/>
  <c r="AB102"/>
  <c r="AA102"/>
  <c r="Y102"/>
  <c r="X102"/>
  <c r="T102"/>
  <c r="P102"/>
  <c r="O102"/>
  <c r="N102"/>
  <c r="M102"/>
  <c r="L102"/>
  <c r="AG101"/>
  <c r="AK101" s="1"/>
  <c r="AD101"/>
  <c r="AC101"/>
  <c r="U101"/>
  <c r="AU101" s="1"/>
  <c r="Q101"/>
  <c r="S101" s="1"/>
  <c r="V101" s="1"/>
  <c r="AZ100"/>
  <c r="AC100"/>
  <c r="AK99"/>
  <c r="AL99" s="1"/>
  <c r="AD99"/>
  <c r="AC99"/>
  <c r="U99"/>
  <c r="AU99" s="1"/>
  <c r="Q99"/>
  <c r="S99" s="1"/>
  <c r="V99" s="1"/>
  <c r="AZ98"/>
  <c r="AC98"/>
  <c r="AJ97"/>
  <c r="AG97"/>
  <c r="AD97"/>
  <c r="AC97"/>
  <c r="W97"/>
  <c r="U97"/>
  <c r="AU97" s="1"/>
  <c r="Q97"/>
  <c r="S97" s="1"/>
  <c r="V97" s="1"/>
  <c r="AK96"/>
  <c r="AL96" s="1"/>
  <c r="AJ96"/>
  <c r="AD96"/>
  <c r="AC96"/>
  <c r="U96"/>
  <c r="AU96" s="1"/>
  <c r="Q96"/>
  <c r="S96" s="1"/>
  <c r="V96" s="1"/>
  <c r="AZ95"/>
  <c r="AC95"/>
  <c r="AO94"/>
  <c r="AO88" s="1"/>
  <c r="AJ94"/>
  <c r="AJ88" s="1"/>
  <c r="AG94"/>
  <c r="AD94"/>
  <c r="AC94"/>
  <c r="W94"/>
  <c r="AK94" s="1"/>
  <c r="U94"/>
  <c r="AU94" s="1"/>
  <c r="N94"/>
  <c r="Q94" s="1"/>
  <c r="AZ93"/>
  <c r="AC93"/>
  <c r="AO92"/>
  <c r="AG92"/>
  <c r="AK92" s="1"/>
  <c r="AV92" s="1"/>
  <c r="AD92"/>
  <c r="AC92"/>
  <c r="U92"/>
  <c r="AU92" s="1"/>
  <c r="S92"/>
  <c r="V92" s="1"/>
  <c r="Q92"/>
  <c r="R92" s="1"/>
  <c r="AK91"/>
  <c r="AV91" s="1"/>
  <c r="AD91"/>
  <c r="AC91"/>
  <c r="U91"/>
  <c r="AU91" s="1"/>
  <c r="AX91" s="1"/>
  <c r="Q91"/>
  <c r="R91" s="1"/>
  <c r="AQ90"/>
  <c r="AC90"/>
  <c r="AS89"/>
  <c r="AQ89"/>
  <c r="AZ89" s="1"/>
  <c r="AC89"/>
  <c r="AT88"/>
  <c r="AP88"/>
  <c r="AN88"/>
  <c r="AM88"/>
  <c r="AM87" s="1"/>
  <c r="AI88"/>
  <c r="AH88"/>
  <c r="AG88"/>
  <c r="AF88"/>
  <c r="AF87" s="1"/>
  <c r="AE88"/>
  <c r="AB88"/>
  <c r="AA88"/>
  <c r="Y88"/>
  <c r="X88"/>
  <c r="T88"/>
  <c r="P88"/>
  <c r="P87" s="1"/>
  <c r="O88"/>
  <c r="N88"/>
  <c r="M88"/>
  <c r="L88"/>
  <c r="T87"/>
  <c r="AK86"/>
  <c r="AV86" s="1"/>
  <c r="AD86"/>
  <c r="AC86"/>
  <c r="U86"/>
  <c r="AU86" s="1"/>
  <c r="Q86"/>
  <c r="S86" s="1"/>
  <c r="V86" s="1"/>
  <c r="AQ85"/>
  <c r="AS85" s="1"/>
  <c r="AC85"/>
  <c r="AG84"/>
  <c r="AD84"/>
  <c r="AC84"/>
  <c r="W84"/>
  <c r="W77" s="1"/>
  <c r="U84"/>
  <c r="AU84" s="1"/>
  <c r="Q84"/>
  <c r="AQ83"/>
  <c r="AS83" s="1"/>
  <c r="AC83"/>
  <c r="AK82"/>
  <c r="AD82"/>
  <c r="AC82"/>
  <c r="U82"/>
  <c r="AU82" s="1"/>
  <c r="Q82"/>
  <c r="AZ81"/>
  <c r="AQ81"/>
  <c r="AS81" s="1"/>
  <c r="AC81"/>
  <c r="AK80"/>
  <c r="AQ80" s="1"/>
  <c r="AD80"/>
  <c r="AC80"/>
  <c r="U80"/>
  <c r="AU80" s="1"/>
  <c r="R80"/>
  <c r="Q80"/>
  <c r="S80" s="1"/>
  <c r="V80" s="1"/>
  <c r="AQ79"/>
  <c r="AS79" s="1"/>
  <c r="AC79"/>
  <c r="AQ78"/>
  <c r="AS78" s="1"/>
  <c r="AC78"/>
  <c r="AT77"/>
  <c r="AP77"/>
  <c r="AO77"/>
  <c r="AN77"/>
  <c r="AM77"/>
  <c r="AJ77"/>
  <c r="AI77"/>
  <c r="AH77"/>
  <c r="AG77"/>
  <c r="AF77"/>
  <c r="AE77"/>
  <c r="AE34" s="1"/>
  <c r="AB77"/>
  <c r="Y77"/>
  <c r="X77"/>
  <c r="T77"/>
  <c r="P77"/>
  <c r="O77"/>
  <c r="N77"/>
  <c r="M77"/>
  <c r="L77"/>
  <c r="AJ76"/>
  <c r="AJ69" s="1"/>
  <c r="AD76"/>
  <c r="AC76"/>
  <c r="U76"/>
  <c r="AU76" s="1"/>
  <c r="Q76"/>
  <c r="R76" s="1"/>
  <c r="N76"/>
  <c r="AQ75"/>
  <c r="AS75" s="1"/>
  <c r="AC75"/>
  <c r="AK74"/>
  <c r="AD74"/>
  <c r="AC74"/>
  <c r="U74"/>
  <c r="AU74" s="1"/>
  <c r="Q74"/>
  <c r="S74" s="1"/>
  <c r="V74" s="1"/>
  <c r="AZ73"/>
  <c r="AC73"/>
  <c r="AQ72"/>
  <c r="AR72" s="1"/>
  <c r="AK72"/>
  <c r="AV72" s="1"/>
  <c r="AD72"/>
  <c r="AC72"/>
  <c r="U72"/>
  <c r="AU72" s="1"/>
  <c r="S72"/>
  <c r="V72" s="1"/>
  <c r="Q72"/>
  <c r="R72" s="1"/>
  <c r="AZ71"/>
  <c r="AC71"/>
  <c r="AZ70"/>
  <c r="AC70"/>
  <c r="AT69"/>
  <c r="AP69"/>
  <c r="AO69"/>
  <c r="AN69"/>
  <c r="AM69"/>
  <c r="AI69"/>
  <c r="AH69"/>
  <c r="AG69"/>
  <c r="AF69"/>
  <c r="AE69"/>
  <c r="AB69"/>
  <c r="AA69"/>
  <c r="Y69"/>
  <c r="X69"/>
  <c r="W69"/>
  <c r="T69"/>
  <c r="Q69"/>
  <c r="P69"/>
  <c r="O69"/>
  <c r="N69"/>
  <c r="M69"/>
  <c r="U69" s="1"/>
  <c r="L69"/>
  <c r="AO68"/>
  <c r="AK68"/>
  <c r="AQ68" s="1"/>
  <c r="AD68"/>
  <c r="AC68"/>
  <c r="U68"/>
  <c r="AU68" s="1"/>
  <c r="Q68"/>
  <c r="R68" s="1"/>
  <c r="AQ67"/>
  <c r="AZ67" s="1"/>
  <c r="AC67"/>
  <c r="AK66"/>
  <c r="AV66" s="1"/>
  <c r="AD66"/>
  <c r="AC66"/>
  <c r="U66"/>
  <c r="AU66" s="1"/>
  <c r="AX66" s="1"/>
  <c r="Q66"/>
  <c r="R66" s="1"/>
  <c r="AQ65"/>
  <c r="AZ65" s="1"/>
  <c r="AC65"/>
  <c r="AD64"/>
  <c r="AC64"/>
  <c r="W64"/>
  <c r="AK64" s="1"/>
  <c r="AL64" s="1"/>
  <c r="U64"/>
  <c r="AU64" s="1"/>
  <c r="Q64"/>
  <c r="S64" s="1"/>
  <c r="V64" s="1"/>
  <c r="AQ63"/>
  <c r="AZ63" s="1"/>
  <c r="AC63"/>
  <c r="AK62"/>
  <c r="AV62" s="1"/>
  <c r="AD62"/>
  <c r="AC62"/>
  <c r="U62"/>
  <c r="AU62" s="1"/>
  <c r="Q62"/>
  <c r="R62" s="1"/>
  <c r="AJ61"/>
  <c r="AK61" s="1"/>
  <c r="AD61"/>
  <c r="AC61"/>
  <c r="U61"/>
  <c r="AU61" s="1"/>
  <c r="Q61"/>
  <c r="S61" s="1"/>
  <c r="V61" s="1"/>
  <c r="AQ60"/>
  <c r="AS60" s="1"/>
  <c r="AC60"/>
  <c r="AQ59"/>
  <c r="AS59" s="1"/>
  <c r="AC59"/>
  <c r="AG58"/>
  <c r="AK58" s="1"/>
  <c r="AQ58" s="1"/>
  <c r="AR58" s="1"/>
  <c r="AD58"/>
  <c r="AC58"/>
  <c r="U58"/>
  <c r="AU58" s="1"/>
  <c r="Q58"/>
  <c r="R58" s="1"/>
  <c r="AZ57"/>
  <c r="AC57"/>
  <c r="AG56"/>
  <c r="AD56"/>
  <c r="AC56"/>
  <c r="U56"/>
  <c r="AU56" s="1"/>
  <c r="Q56"/>
  <c r="AZ55"/>
  <c r="AC55"/>
  <c r="AZ54"/>
  <c r="AC54"/>
  <c r="AT53"/>
  <c r="AP53"/>
  <c r="AO53"/>
  <c r="AN53"/>
  <c r="AM53"/>
  <c r="AJ53"/>
  <c r="AI53"/>
  <c r="AH53"/>
  <c r="AF53"/>
  <c r="AE53"/>
  <c r="AB53"/>
  <c r="AA53"/>
  <c r="Y53"/>
  <c r="X53"/>
  <c r="W53"/>
  <c r="T53"/>
  <c r="T34" s="1"/>
  <c r="P53"/>
  <c r="O53"/>
  <c r="N53"/>
  <c r="M53"/>
  <c r="U53" s="1"/>
  <c r="L53"/>
  <c r="AG52"/>
  <c r="AD52"/>
  <c r="AC52"/>
  <c r="W52"/>
  <c r="AK52" s="1"/>
  <c r="U52"/>
  <c r="AU52" s="1"/>
  <c r="Q52"/>
  <c r="S52" s="1"/>
  <c r="V52" s="1"/>
  <c r="AO51"/>
  <c r="AJ51"/>
  <c r="AG51"/>
  <c r="AD51"/>
  <c r="AC51"/>
  <c r="W51"/>
  <c r="U51"/>
  <c r="AU51" s="1"/>
  <c r="N51"/>
  <c r="AO50"/>
  <c r="AG50"/>
  <c r="AD50"/>
  <c r="AC50"/>
  <c r="W50"/>
  <c r="AK50" s="1"/>
  <c r="U50"/>
  <c r="AU50" s="1"/>
  <c r="Q50"/>
  <c r="AO49"/>
  <c r="AG49"/>
  <c r="AD49"/>
  <c r="AC49"/>
  <c r="W49"/>
  <c r="U49"/>
  <c r="AU49" s="1"/>
  <c r="Q49"/>
  <c r="R49" s="1"/>
  <c r="AO48"/>
  <c r="AG48"/>
  <c r="AD48"/>
  <c r="AC48"/>
  <c r="W48"/>
  <c r="U48"/>
  <c r="AU48" s="1"/>
  <c r="Q48"/>
  <c r="S48" s="1"/>
  <c r="V48" s="1"/>
  <c r="AQ47"/>
  <c r="AS47" s="1"/>
  <c r="AC47"/>
  <c r="AQ46"/>
  <c r="AS46" s="1"/>
  <c r="AC46"/>
  <c r="AT45"/>
  <c r="AP45"/>
  <c r="AN45"/>
  <c r="AM45"/>
  <c r="AJ45"/>
  <c r="AI45"/>
  <c r="AH45"/>
  <c r="AF45"/>
  <c r="AE45"/>
  <c r="AB45"/>
  <c r="Y45"/>
  <c r="X45"/>
  <c r="T45"/>
  <c r="P45"/>
  <c r="O45"/>
  <c r="M45"/>
  <c r="L45"/>
  <c r="L34" s="1"/>
  <c r="AK44"/>
  <c r="AV44" s="1"/>
  <c r="AD44"/>
  <c r="AC44"/>
  <c r="U44"/>
  <c r="AU44" s="1"/>
  <c r="AX44" s="1"/>
  <c r="Q44"/>
  <c r="S44" s="1"/>
  <c r="V44" s="1"/>
  <c r="AQ43"/>
  <c r="AZ43" s="1"/>
  <c r="AC43"/>
  <c r="AO42"/>
  <c r="AO35" s="1"/>
  <c r="AK42"/>
  <c r="AL42" s="1"/>
  <c r="AD42"/>
  <c r="AC42"/>
  <c r="U42"/>
  <c r="AU42" s="1"/>
  <c r="R42"/>
  <c r="Q42"/>
  <c r="S42" s="1"/>
  <c r="V42" s="1"/>
  <c r="AK41"/>
  <c r="AV41" s="1"/>
  <c r="AD41"/>
  <c r="AC41"/>
  <c r="U41"/>
  <c r="AU41" s="1"/>
  <c r="AX41" s="1"/>
  <c r="Q41"/>
  <c r="AZ40"/>
  <c r="AC40"/>
  <c r="AD39"/>
  <c r="AC39"/>
  <c r="U39"/>
  <c r="AU39" s="1"/>
  <c r="N39"/>
  <c r="N35" s="1"/>
  <c r="AK38"/>
  <c r="AV38" s="1"/>
  <c r="AW38" s="1"/>
  <c r="AD38"/>
  <c r="AC38"/>
  <c r="U38"/>
  <c r="AU38" s="1"/>
  <c r="Q38"/>
  <c r="AZ37"/>
  <c r="AC37"/>
  <c r="AC36"/>
  <c r="AT35"/>
  <c r="AP35"/>
  <c r="AN35"/>
  <c r="AM35"/>
  <c r="AJ35"/>
  <c r="AI35"/>
  <c r="AH35"/>
  <c r="AG35"/>
  <c r="AF35"/>
  <c r="AF34" s="1"/>
  <c r="AE35"/>
  <c r="AB35"/>
  <c r="AA35"/>
  <c r="Y35"/>
  <c r="Y34" s="1"/>
  <c r="X35"/>
  <c r="W35"/>
  <c r="T35"/>
  <c r="P35"/>
  <c r="P34" s="1"/>
  <c r="O35"/>
  <c r="O34" s="1"/>
  <c r="M35"/>
  <c r="AD35" s="1"/>
  <c r="L35"/>
  <c r="AM34"/>
  <c r="Z34"/>
  <c r="X34"/>
  <c r="AT33"/>
  <c r="AZ32"/>
  <c r="AZ31"/>
  <c r="AO30"/>
  <c r="AL30"/>
  <c r="AC30"/>
  <c r="AO29"/>
  <c r="AP29" s="1"/>
  <c r="AL29"/>
  <c r="AC29"/>
  <c r="AN28"/>
  <c r="AL28"/>
  <c r="AC28"/>
  <c r="AM27"/>
  <c r="AK27"/>
  <c r="AC27"/>
  <c r="AO26"/>
  <c r="AZ26" s="1"/>
  <c r="AL26"/>
  <c r="AC26"/>
  <c r="AO25"/>
  <c r="AZ25" s="1"/>
  <c r="AL25"/>
  <c r="AC25"/>
  <c r="AO24"/>
  <c r="AZ24" s="1"/>
  <c r="AL24"/>
  <c r="AC24"/>
  <c r="AP23"/>
  <c r="AO23"/>
  <c r="AZ23" s="1"/>
  <c r="AL23"/>
  <c r="AC23"/>
  <c r="AO22"/>
  <c r="AZ22" s="1"/>
  <c r="AL22"/>
  <c r="AC22"/>
  <c r="AO21"/>
  <c r="AP21" s="1"/>
  <c r="AL21"/>
  <c r="AC21"/>
  <c r="AO20"/>
  <c r="AL20"/>
  <c r="AC20"/>
  <c r="AO19"/>
  <c r="AZ19" s="1"/>
  <c r="AL19"/>
  <c r="AC19"/>
  <c r="AO18"/>
  <c r="AZ18" s="1"/>
  <c r="AL18"/>
  <c r="AC18"/>
  <c r="AP17"/>
  <c r="AO17"/>
  <c r="AZ17" s="1"/>
  <c r="AL17"/>
  <c r="AC17"/>
  <c r="AN16"/>
  <c r="AM16"/>
  <c r="AM15" s="1"/>
  <c r="AK16"/>
  <c r="AK15" s="1"/>
  <c r="AG16"/>
  <c r="AG15" s="1"/>
  <c r="AE16"/>
  <c r="AD16"/>
  <c r="AD15" s="1"/>
  <c r="AB16"/>
  <c r="AL16" s="1"/>
  <c r="AA16"/>
  <c r="AA15" s="1"/>
  <c r="Z16"/>
  <c r="Z15" s="1"/>
  <c r="Y16"/>
  <c r="Y15" s="1"/>
  <c r="X16"/>
  <c r="X15" s="1"/>
  <c r="W16"/>
  <c r="W15" s="1"/>
  <c r="V16"/>
  <c r="V15" s="1"/>
  <c r="U16"/>
  <c r="U15" s="1"/>
  <c r="T16"/>
  <c r="T15" s="1"/>
  <c r="S16"/>
  <c r="S15" s="1"/>
  <c r="R16"/>
  <c r="R15" s="1"/>
  <c r="Q16"/>
  <c r="Q15" s="1"/>
  <c r="P16"/>
  <c r="P15" s="1"/>
  <c r="O16"/>
  <c r="O15" s="1"/>
  <c r="N16"/>
  <c r="N15" s="1"/>
  <c r="M16"/>
  <c r="L16"/>
  <c r="M15"/>
  <c r="L15"/>
  <c r="AZ14"/>
  <c r="AZ13"/>
  <c r="AZ12"/>
  <c r="AZ11"/>
  <c r="AA10"/>
  <c r="Z10"/>
  <c r="Y10"/>
  <c r="X10"/>
  <c r="W10"/>
  <c r="V10"/>
  <c r="U10"/>
  <c r="T10"/>
  <c r="S10"/>
  <c r="R10"/>
  <c r="Q10"/>
  <c r="P10"/>
  <c r="O10"/>
  <c r="N10"/>
  <c r="M10"/>
  <c r="L10"/>
  <c r="AZ10" s="1"/>
  <c r="AZ9"/>
  <c r="AO28" l="1"/>
  <c r="AZ28" s="1"/>
  <c r="AN27"/>
  <c r="AK166"/>
  <c r="AG155"/>
  <c r="AL183"/>
  <c r="AV183"/>
  <c r="AW183" s="1"/>
  <c r="AV209"/>
  <c r="AL209"/>
  <c r="AL294"/>
  <c r="AQ294"/>
  <c r="AZ294" s="1"/>
  <c r="E43" i="84"/>
  <c r="S50" i="83"/>
  <c r="V50" s="1"/>
  <c r="R50"/>
  <c r="R84"/>
  <c r="S84"/>
  <c r="V84" s="1"/>
  <c r="AV184"/>
  <c r="AL184"/>
  <c r="AV398"/>
  <c r="AL398"/>
  <c r="Q417"/>
  <c r="N416"/>
  <c r="Q416" s="1"/>
  <c r="S416" s="1"/>
  <c r="V416" s="1"/>
  <c r="E491" i="84"/>
  <c r="AB416" i="83"/>
  <c r="AL447"/>
  <c r="AK444"/>
  <c r="R450"/>
  <c r="S450"/>
  <c r="V450" s="1"/>
  <c r="AB443"/>
  <c r="AC443" s="1"/>
  <c r="E396" i="84"/>
  <c r="AV510" i="83"/>
  <c r="AQ510"/>
  <c r="AZ510" s="1"/>
  <c r="AK504"/>
  <c r="AQ504" s="1"/>
  <c r="G431" i="84" s="1"/>
  <c r="E545"/>
  <c r="AI34" i="83"/>
  <c r="AO45"/>
  <c r="AO87"/>
  <c r="O635"/>
  <c r="X635"/>
  <c r="AE635"/>
  <c r="AI635"/>
  <c r="AO635"/>
  <c r="S38"/>
  <c r="V38" s="1"/>
  <c r="R38"/>
  <c r="AC291"/>
  <c r="E212" i="84"/>
  <c r="S308" i="83"/>
  <c r="V308" s="1"/>
  <c r="R308"/>
  <c r="AV462"/>
  <c r="AL462"/>
  <c r="AV517"/>
  <c r="AQ517"/>
  <c r="AZ517" s="1"/>
  <c r="S41"/>
  <c r="V41" s="1"/>
  <c r="R41"/>
  <c r="S56"/>
  <c r="V56" s="1"/>
  <c r="R56"/>
  <c r="AS90"/>
  <c r="AZ90"/>
  <c r="E113" i="84"/>
  <c r="I113" s="1"/>
  <c r="AB87" i="83"/>
  <c r="E119" i="84"/>
  <c r="AL131" i="83"/>
  <c r="AQ131"/>
  <c r="AZ131" s="1"/>
  <c r="AV131"/>
  <c r="S147"/>
  <c r="V147" s="1"/>
  <c r="R147"/>
  <c r="AL211"/>
  <c r="AQ211"/>
  <c r="AS211" s="1"/>
  <c r="AY211" s="1"/>
  <c r="AV211"/>
  <c r="Q309"/>
  <c r="S309" s="1"/>
  <c r="N290"/>
  <c r="Q290" s="1"/>
  <c r="E231" i="84"/>
  <c r="U366" i="83"/>
  <c r="AU366" s="1"/>
  <c r="S366"/>
  <c r="V366" s="1"/>
  <c r="AV388"/>
  <c r="AL388"/>
  <c r="AD221"/>
  <c r="AK76"/>
  <c r="AW333"/>
  <c r="AF443"/>
  <c r="Q51"/>
  <c r="N45"/>
  <c r="Q45" s="1"/>
  <c r="R45" s="1"/>
  <c r="AC88"/>
  <c r="L87"/>
  <c r="S145"/>
  <c r="V145" s="1"/>
  <c r="R145"/>
  <c r="AL158"/>
  <c r="AK155"/>
  <c r="U221"/>
  <c r="AU221" s="1"/>
  <c r="AX221" s="1"/>
  <c r="T192"/>
  <c r="Z30"/>
  <c r="Z290"/>
  <c r="E515" i="84"/>
  <c r="AB548" i="83"/>
  <c r="AZ30"/>
  <c r="AP30"/>
  <c r="S82"/>
  <c r="V82" s="1"/>
  <c r="R82"/>
  <c r="E162" i="84"/>
  <c r="AQ203" i="83"/>
  <c r="AS203" s="1"/>
  <c r="AY203" s="1"/>
  <c r="AV203"/>
  <c r="AX203" s="1"/>
  <c r="R360"/>
  <c r="S360"/>
  <c r="V360" s="1"/>
  <c r="AV366"/>
  <c r="AQ366"/>
  <c r="AS366" s="1"/>
  <c r="AY366" s="1"/>
  <c r="AK351"/>
  <c r="AV351" s="1"/>
  <c r="AV426"/>
  <c r="AL426"/>
  <c r="AJ34"/>
  <c r="AG192"/>
  <c r="AN15"/>
  <c r="AO34"/>
  <c r="AZ34" s="1"/>
  <c r="E75" i="84"/>
  <c r="E99"/>
  <c r="AC114" i="83"/>
  <c r="E108" i="84"/>
  <c r="E605"/>
  <c r="I605" s="1"/>
  <c r="E189"/>
  <c r="E298"/>
  <c r="E345"/>
  <c r="E658"/>
  <c r="AS11" i="83"/>
  <c r="AY11" s="1"/>
  <c r="G9" i="84"/>
  <c r="AO27" i="83"/>
  <c r="AP27" s="1"/>
  <c r="AP34"/>
  <c r="AK51"/>
  <c r="AV51" s="1"/>
  <c r="AW62"/>
  <c r="AJ87"/>
  <c r="AK97"/>
  <c r="AS103"/>
  <c r="AK107"/>
  <c r="AQ107" s="1"/>
  <c r="N87"/>
  <c r="AD118"/>
  <c r="AH87"/>
  <c r="AN87"/>
  <c r="AN677" s="1"/>
  <c r="AL142"/>
  <c r="AL152"/>
  <c r="Q155"/>
  <c r="Q168"/>
  <c r="AX173"/>
  <c r="AX196"/>
  <c r="AL196"/>
  <c r="U200"/>
  <c r="AU200" s="1"/>
  <c r="AD200"/>
  <c r="AX214"/>
  <c r="AQ214"/>
  <c r="AS214" s="1"/>
  <c r="AY214" s="1"/>
  <c r="AX220"/>
  <c r="AX224"/>
  <c r="AX237"/>
  <c r="AV240"/>
  <c r="AL247"/>
  <c r="AX264"/>
  <c r="AL279"/>
  <c r="U309"/>
  <c r="AD309"/>
  <c r="AQ323"/>
  <c r="Q329"/>
  <c r="S329" s="1"/>
  <c r="AU329"/>
  <c r="AL345"/>
  <c r="AL350"/>
  <c r="AX354"/>
  <c r="AV355"/>
  <c r="AV362"/>
  <c r="AQ365"/>
  <c r="AZ365" s="1"/>
  <c r="R368"/>
  <c r="R371"/>
  <c r="AL380"/>
  <c r="AV391"/>
  <c r="AL404"/>
  <c r="AX408"/>
  <c r="AL415"/>
  <c r="S417"/>
  <c r="U417"/>
  <c r="AX423"/>
  <c r="AV425"/>
  <c r="AX425" s="1"/>
  <c r="AX429"/>
  <c r="AL430"/>
  <c r="AX432"/>
  <c r="AL432"/>
  <c r="AC457"/>
  <c r="AJ443"/>
  <c r="AX465"/>
  <c r="AL471"/>
  <c r="AL479"/>
  <c r="AL485"/>
  <c r="AD487"/>
  <c r="AU487"/>
  <c r="AL503"/>
  <c r="AX525"/>
  <c r="R532"/>
  <c r="AL532"/>
  <c r="S535"/>
  <c r="V535" s="1"/>
  <c r="AW535"/>
  <c r="AX538"/>
  <c r="S542"/>
  <c r="V542" s="1"/>
  <c r="AL597"/>
  <c r="AX611"/>
  <c r="AX619"/>
  <c r="N636"/>
  <c r="N635" s="1"/>
  <c r="Q635" s="1"/>
  <c r="R635" s="1"/>
  <c r="AL652"/>
  <c r="AH635"/>
  <c r="AX665"/>
  <c r="AX668"/>
  <c r="AS30"/>
  <c r="AY30" s="1"/>
  <c r="E35" i="84"/>
  <c r="E66"/>
  <c r="E136"/>
  <c r="E618"/>
  <c r="I618" s="1"/>
  <c r="AC193" i="83"/>
  <c r="E153" i="84"/>
  <c r="I153" s="1"/>
  <c r="AC351" i="83"/>
  <c r="E274" i="84"/>
  <c r="E322"/>
  <c r="I322" s="1"/>
  <c r="E360"/>
  <c r="AC504" i="83"/>
  <c r="E431" i="84"/>
  <c r="AP25" i="83"/>
  <c r="AH34"/>
  <c r="AN34"/>
  <c r="AG45"/>
  <c r="AZ75"/>
  <c r="AX86"/>
  <c r="Q110"/>
  <c r="R110" s="1"/>
  <c r="Q133"/>
  <c r="R133" s="1"/>
  <c r="Q136"/>
  <c r="R136" s="1"/>
  <c r="S155"/>
  <c r="V155" s="1"/>
  <c r="AX181"/>
  <c r="AW267"/>
  <c r="AL269"/>
  <c r="Q270"/>
  <c r="AC271"/>
  <c r="AX282"/>
  <c r="AQ282"/>
  <c r="AS282" s="1"/>
  <c r="AY282" s="1"/>
  <c r="O290"/>
  <c r="Y290"/>
  <c r="AL315"/>
  <c r="AL342"/>
  <c r="R370"/>
  <c r="AX371"/>
  <c r="AX391"/>
  <c r="AL399"/>
  <c r="AX405"/>
  <c r="U416"/>
  <c r="AU416" s="1"/>
  <c r="AD416"/>
  <c r="AL434"/>
  <c r="AX436"/>
  <c r="AL437"/>
  <c r="AX439"/>
  <c r="AL442"/>
  <c r="AX460"/>
  <c r="AX467"/>
  <c r="AL467"/>
  <c r="Q473"/>
  <c r="AX522"/>
  <c r="R538"/>
  <c r="AL538"/>
  <c r="S540"/>
  <c r="V540" s="1"/>
  <c r="AL570"/>
  <c r="AX574"/>
  <c r="AL575"/>
  <c r="AC578"/>
  <c r="P548"/>
  <c r="AF548"/>
  <c r="AJ548"/>
  <c r="S614"/>
  <c r="V614" s="1"/>
  <c r="AX625"/>
  <c r="Q643"/>
  <c r="R643" s="1"/>
  <c r="E52" i="84"/>
  <c r="E87"/>
  <c r="E184"/>
  <c r="I184" s="1"/>
  <c r="E251"/>
  <c r="E449"/>
  <c r="Z677" i="83"/>
  <c r="AD69"/>
  <c r="AL82"/>
  <c r="AX92"/>
  <c r="X87"/>
  <c r="AX131"/>
  <c r="AL145"/>
  <c r="AL147"/>
  <c r="P154"/>
  <c r="AL167"/>
  <c r="S168"/>
  <c r="AQ193"/>
  <c r="AW209"/>
  <c r="AX211"/>
  <c r="AX216"/>
  <c r="S221"/>
  <c r="V221" s="1"/>
  <c r="AC225"/>
  <c r="AL232"/>
  <c r="AX245"/>
  <c r="S248"/>
  <c r="V248" s="1"/>
  <c r="AL252"/>
  <c r="AX255"/>
  <c r="AX260"/>
  <c r="AL267"/>
  <c r="AX279"/>
  <c r="X290"/>
  <c r="AE290"/>
  <c r="AO290"/>
  <c r="AX328"/>
  <c r="R366"/>
  <c r="AL386"/>
  <c r="AL410"/>
  <c r="AX415"/>
  <c r="AX426"/>
  <c r="AL450"/>
  <c r="AL452"/>
  <c r="AL454"/>
  <c r="AL456"/>
  <c r="AX462"/>
  <c r="AL469"/>
  <c r="AL472"/>
  <c r="AX517"/>
  <c r="AL527"/>
  <c r="Q549"/>
  <c r="R549" s="1"/>
  <c r="AX588"/>
  <c r="AX597"/>
  <c r="AL606"/>
  <c r="AX652"/>
  <c r="AO548"/>
  <c r="AL601"/>
  <c r="AK578"/>
  <c r="AQ578" s="1"/>
  <c r="H573" i="84" s="1"/>
  <c r="AX582" i="83"/>
  <c r="AL602"/>
  <c r="AL564"/>
  <c r="AL563"/>
  <c r="AL566"/>
  <c r="AX572"/>
  <c r="AX577"/>
  <c r="AQ587"/>
  <c r="AZ587" s="1"/>
  <c r="R589"/>
  <c r="AL589"/>
  <c r="AW599"/>
  <c r="O548"/>
  <c r="X548"/>
  <c r="AW559"/>
  <c r="AL561"/>
  <c r="M548"/>
  <c r="T548"/>
  <c r="AA548"/>
  <c r="AW589"/>
  <c r="AW591"/>
  <c r="AX658"/>
  <c r="AL673"/>
  <c r="AB635"/>
  <c r="S643"/>
  <c r="AL643"/>
  <c r="S665"/>
  <c r="V665" s="1"/>
  <c r="AQ673"/>
  <c r="AZ673" s="1"/>
  <c r="AC636"/>
  <c r="AX641"/>
  <c r="R644"/>
  <c r="AW644"/>
  <c r="R647"/>
  <c r="AW647"/>
  <c r="AW673"/>
  <c r="AL656"/>
  <c r="AR659"/>
  <c r="AV664"/>
  <c r="AL675"/>
  <c r="R645"/>
  <c r="AL645"/>
  <c r="R649"/>
  <c r="AL650"/>
  <c r="AW664"/>
  <c r="AL664"/>
  <c r="AL672"/>
  <c r="AZ664"/>
  <c r="AR664"/>
  <c r="AW658"/>
  <c r="AX673"/>
  <c r="P635"/>
  <c r="Y635"/>
  <c r="AF635"/>
  <c r="AJ635"/>
  <c r="AP635"/>
  <c r="AX656"/>
  <c r="AQ656"/>
  <c r="AZ656" s="1"/>
  <c r="AL658"/>
  <c r="AL662"/>
  <c r="S667"/>
  <c r="V667" s="1"/>
  <c r="AW667"/>
  <c r="AW668"/>
  <c r="S675"/>
  <c r="V675" s="1"/>
  <c r="Q653"/>
  <c r="R653" s="1"/>
  <c r="AW662"/>
  <c r="AW665"/>
  <c r="AL667"/>
  <c r="S653"/>
  <c r="U653"/>
  <c r="AU653" s="1"/>
  <c r="AD653"/>
  <c r="AL665"/>
  <c r="AL668"/>
  <c r="R638"/>
  <c r="AL638"/>
  <c r="U636"/>
  <c r="AU636" s="1"/>
  <c r="AD636"/>
  <c r="R641"/>
  <c r="AW650"/>
  <c r="S652"/>
  <c r="V652" s="1"/>
  <c r="AW652"/>
  <c r="AL620"/>
  <c r="AL621"/>
  <c r="AL623"/>
  <c r="AW631"/>
  <c r="AW614"/>
  <c r="AW621"/>
  <c r="AW627"/>
  <c r="AX634"/>
  <c r="AW611"/>
  <c r="AL614"/>
  <c r="AW619"/>
  <c r="AW625"/>
  <c r="AL627"/>
  <c r="Q607"/>
  <c r="AX610"/>
  <c r="AL611"/>
  <c r="AW617"/>
  <c r="AL619"/>
  <c r="AX623"/>
  <c r="AQ623"/>
  <c r="AS623" s="1"/>
  <c r="AY623" s="1"/>
  <c r="AL625"/>
  <c r="AL631"/>
  <c r="AW581"/>
  <c r="AQ581"/>
  <c r="R585"/>
  <c r="AL585"/>
  <c r="AL588"/>
  <c r="AX589"/>
  <c r="AQ589"/>
  <c r="AZ589" s="1"/>
  <c r="AL591"/>
  <c r="AX591"/>
  <c r="AL593"/>
  <c r="AW597"/>
  <c r="AL604"/>
  <c r="R606"/>
  <c r="AX587"/>
  <c r="AW588"/>
  <c r="Q578"/>
  <c r="R578" s="1"/>
  <c r="AL581"/>
  <c r="AV585"/>
  <c r="R587"/>
  <c r="AL587"/>
  <c r="AQ591"/>
  <c r="AL592"/>
  <c r="AL595"/>
  <c r="AL599"/>
  <c r="AW601"/>
  <c r="AD578"/>
  <c r="AX585"/>
  <c r="AW592"/>
  <c r="AW595"/>
  <c r="AX556"/>
  <c r="AQ553"/>
  <c r="AZ553" s="1"/>
  <c r="AQ559"/>
  <c r="AL560"/>
  <c r="S570"/>
  <c r="V570" s="1"/>
  <c r="AW572"/>
  <c r="AW574"/>
  <c r="AQ556"/>
  <c r="AW560"/>
  <c r="AW563"/>
  <c r="AL568"/>
  <c r="AL572"/>
  <c r="AL574"/>
  <c r="AX553"/>
  <c r="AX559"/>
  <c r="AW577"/>
  <c r="AL552"/>
  <c r="AL556"/>
  <c r="AL577"/>
  <c r="R529"/>
  <c r="AQ529"/>
  <c r="G449" i="84" s="1"/>
  <c r="H449" s="1"/>
  <c r="R544" i="83"/>
  <c r="U529"/>
  <c r="AU529" s="1"/>
  <c r="AD529"/>
  <c r="AC529"/>
  <c r="AH443"/>
  <c r="AX537"/>
  <c r="AX542"/>
  <c r="AW544"/>
  <c r="AW517"/>
  <c r="AW513"/>
  <c r="AW520"/>
  <c r="AW525"/>
  <c r="AL528"/>
  <c r="AD504"/>
  <c r="AW510"/>
  <c r="AV515"/>
  <c r="AW515" s="1"/>
  <c r="AW519"/>
  <c r="AL525"/>
  <c r="AW528"/>
  <c r="AL510"/>
  <c r="AL517"/>
  <c r="AQ520"/>
  <c r="AL521"/>
  <c r="AL522"/>
  <c r="Q504"/>
  <c r="S504" s="1"/>
  <c r="V504" s="1"/>
  <c r="AW507"/>
  <c r="AL512"/>
  <c r="AL513"/>
  <c r="AL515"/>
  <c r="AR517"/>
  <c r="AW522"/>
  <c r="AX523"/>
  <c r="AG443"/>
  <c r="AL493"/>
  <c r="AL497"/>
  <c r="AL501"/>
  <c r="AW490"/>
  <c r="Q487"/>
  <c r="S487" s="1"/>
  <c r="AW493"/>
  <c r="AW495"/>
  <c r="AW497"/>
  <c r="AW501"/>
  <c r="AK473"/>
  <c r="AQ473" s="1"/>
  <c r="AQ479"/>
  <c r="AS479" s="1"/>
  <c r="AY479" s="1"/>
  <c r="AL483"/>
  <c r="AW486"/>
  <c r="AD473"/>
  <c r="AW479"/>
  <c r="AW483"/>
  <c r="AL486"/>
  <c r="AW462"/>
  <c r="AP443"/>
  <c r="AW467"/>
  <c r="M443"/>
  <c r="L443"/>
  <c r="P443"/>
  <c r="U457"/>
  <c r="AD457"/>
  <c r="AQ469"/>
  <c r="AS469" s="1"/>
  <c r="AY469" s="1"/>
  <c r="AW471"/>
  <c r="AV472"/>
  <c r="AW472" s="1"/>
  <c r="R447"/>
  <c r="R452"/>
  <c r="R456"/>
  <c r="S454"/>
  <c r="V454" s="1"/>
  <c r="AO443"/>
  <c r="AM443"/>
  <c r="AD417"/>
  <c r="AW426"/>
  <c r="AW432"/>
  <c r="AC416"/>
  <c r="AV420"/>
  <c r="AL423"/>
  <c r="AL425"/>
  <c r="AV428"/>
  <c r="AX428" s="1"/>
  <c r="AL429"/>
  <c r="AV430"/>
  <c r="AW430" s="1"/>
  <c r="AV434"/>
  <c r="AW436"/>
  <c r="AV437"/>
  <c r="AW439"/>
  <c r="AV442"/>
  <c r="AX420"/>
  <c r="AW423"/>
  <c r="AQ428"/>
  <c r="AR428" s="1"/>
  <c r="AW429"/>
  <c r="AX430"/>
  <c r="AQ430"/>
  <c r="AR430" s="1"/>
  <c r="AX434"/>
  <c r="AQ434"/>
  <c r="AR434" s="1"/>
  <c r="AX437"/>
  <c r="AQ437"/>
  <c r="AR437" s="1"/>
  <c r="AX442"/>
  <c r="AQ442"/>
  <c r="AR442" s="1"/>
  <c r="AW408"/>
  <c r="AX402"/>
  <c r="AW405"/>
  <c r="Q395"/>
  <c r="AQ402"/>
  <c r="AL405"/>
  <c r="AQ408"/>
  <c r="R413"/>
  <c r="AW415"/>
  <c r="U395"/>
  <c r="AU395" s="1"/>
  <c r="AD395"/>
  <c r="AW398"/>
  <c r="AL402"/>
  <c r="AQ405"/>
  <c r="AL408"/>
  <c r="AL412"/>
  <c r="AS394"/>
  <c r="AY394" s="1"/>
  <c r="AR394"/>
  <c r="R393"/>
  <c r="AL393"/>
  <c r="S394"/>
  <c r="V394" s="1"/>
  <c r="AV394"/>
  <c r="AW394" s="1"/>
  <c r="AL382"/>
  <c r="AL385"/>
  <c r="AL394"/>
  <c r="R374"/>
  <c r="AW382"/>
  <c r="AW385"/>
  <c r="AX388"/>
  <c r="AQ388"/>
  <c r="AL391"/>
  <c r="AV393"/>
  <c r="AX393"/>
  <c r="AQ393"/>
  <c r="AZ393" s="1"/>
  <c r="AS363"/>
  <c r="AY363" s="1"/>
  <c r="AR363"/>
  <c r="AS368"/>
  <c r="AY368" s="1"/>
  <c r="AR368"/>
  <c r="AD358"/>
  <c r="AL358" s="1"/>
  <c r="AD368"/>
  <c r="AL368" s="1"/>
  <c r="AV368"/>
  <c r="AW368" s="1"/>
  <c r="AD371"/>
  <c r="AQ351"/>
  <c r="G274" i="84" s="1"/>
  <c r="AD354" i="83"/>
  <c r="AL354" s="1"/>
  <c r="AW360"/>
  <c r="S363"/>
  <c r="V363" s="1"/>
  <c r="AD366"/>
  <c r="AL366" s="1"/>
  <c r="Q351"/>
  <c r="S358"/>
  <c r="V358" s="1"/>
  <c r="AD360"/>
  <c r="AL360" s="1"/>
  <c r="R363"/>
  <c r="S368"/>
  <c r="V368" s="1"/>
  <c r="AL371"/>
  <c r="AD363"/>
  <c r="AL363" s="1"/>
  <c r="AL332"/>
  <c r="AX333"/>
  <c r="AQ333"/>
  <c r="AZ333" s="1"/>
  <c r="AW336"/>
  <c r="AL343"/>
  <c r="AV338"/>
  <c r="AW338" s="1"/>
  <c r="AW340"/>
  <c r="AV350"/>
  <c r="AW350" s="1"/>
  <c r="L290"/>
  <c r="AD329"/>
  <c r="AQ338"/>
  <c r="AZ338" s="1"/>
  <c r="AL340"/>
  <c r="AW347"/>
  <c r="AX350"/>
  <c r="AQ350"/>
  <c r="AZ350" s="1"/>
  <c r="AW332"/>
  <c r="AW343"/>
  <c r="AZ323"/>
  <c r="AS323"/>
  <c r="AY323" s="1"/>
  <c r="AW325"/>
  <c r="AW328"/>
  <c r="AU309"/>
  <c r="AL312"/>
  <c r="AL317"/>
  <c r="AL320"/>
  <c r="AL323"/>
  <c r="AV323"/>
  <c r="AW323" s="1"/>
  <c r="AL326"/>
  <c r="AW312"/>
  <c r="AW317"/>
  <c r="AW320"/>
  <c r="V309"/>
  <c r="AL321"/>
  <c r="AL325"/>
  <c r="AL328"/>
  <c r="AW297"/>
  <c r="AL306"/>
  <c r="AH290"/>
  <c r="AN290"/>
  <c r="AL305"/>
  <c r="U291"/>
  <c r="AU291" s="1"/>
  <c r="AL299"/>
  <c r="AV301"/>
  <c r="AX301" s="1"/>
  <c r="R303"/>
  <c r="AF290"/>
  <c r="AJ290"/>
  <c r="AP290"/>
  <c r="AD291"/>
  <c r="AV294"/>
  <c r="AW294" s="1"/>
  <c r="AL297"/>
  <c r="AQ301"/>
  <c r="AZ301" s="1"/>
  <c r="AW306"/>
  <c r="AW274"/>
  <c r="AL274"/>
  <c r="AL277"/>
  <c r="AL280"/>
  <c r="AR282"/>
  <c r="U271"/>
  <c r="AU271" s="1"/>
  <c r="AV277"/>
  <c r="AX277" s="1"/>
  <c r="AW279"/>
  <c r="AV280"/>
  <c r="AW280" s="1"/>
  <c r="AW282"/>
  <c r="AL286"/>
  <c r="AL289"/>
  <c r="AW286"/>
  <c r="AW289"/>
  <c r="AL251"/>
  <c r="AV259"/>
  <c r="AX259" s="1"/>
  <c r="AV262"/>
  <c r="AV266"/>
  <c r="AX266" s="1"/>
  <c r="AR251"/>
  <c r="AV252"/>
  <c r="AX252" s="1"/>
  <c r="AL255"/>
  <c r="AQ259"/>
  <c r="AR259" s="1"/>
  <c r="AX262"/>
  <c r="AQ267"/>
  <c r="AW255"/>
  <c r="AW260"/>
  <c r="AL262"/>
  <c r="AL264"/>
  <c r="AL266"/>
  <c r="AW251"/>
  <c r="AL260"/>
  <c r="AW264"/>
  <c r="AZ234"/>
  <c r="AR234"/>
  <c r="AZ229"/>
  <c r="AR229"/>
  <c r="AQ225"/>
  <c r="AZ225" s="1"/>
  <c r="AV229"/>
  <c r="AW229" s="1"/>
  <c r="AV232"/>
  <c r="AV234"/>
  <c r="AW234" s="1"/>
  <c r="AV244"/>
  <c r="AX244" s="1"/>
  <c r="AV247"/>
  <c r="AW247" s="1"/>
  <c r="AD225"/>
  <c r="AX228"/>
  <c r="AL229"/>
  <c r="AX232"/>
  <c r="AQ232"/>
  <c r="AS232" s="1"/>
  <c r="AY232" s="1"/>
  <c r="AL234"/>
  <c r="AQ237"/>
  <c r="AS237" s="1"/>
  <c r="AY237" s="1"/>
  <c r="AL239"/>
  <c r="AQ244"/>
  <c r="AR244" s="1"/>
  <c r="AQ247"/>
  <c r="AR247" s="1"/>
  <c r="AW242"/>
  <c r="AW245"/>
  <c r="Q225"/>
  <c r="S225" s="1"/>
  <c r="V225" s="1"/>
  <c r="AX236"/>
  <c r="AL237"/>
  <c r="AX240"/>
  <c r="AQ240"/>
  <c r="AR240" s="1"/>
  <c r="AL242"/>
  <c r="AL245"/>
  <c r="AL221"/>
  <c r="AW224"/>
  <c r="AL224"/>
  <c r="U192"/>
  <c r="AU192" s="1"/>
  <c r="AW204"/>
  <c r="AL203"/>
  <c r="AW207"/>
  <c r="AQ209"/>
  <c r="AW213"/>
  <c r="AW216"/>
  <c r="AW220"/>
  <c r="S200"/>
  <c r="AW203"/>
  <c r="AL216"/>
  <c r="AL220"/>
  <c r="Y192"/>
  <c r="AD192"/>
  <c r="Q193"/>
  <c r="S193" s="1"/>
  <c r="V193" s="1"/>
  <c r="L192"/>
  <c r="P192"/>
  <c r="AN192"/>
  <c r="AL198"/>
  <c r="W192"/>
  <c r="AD193"/>
  <c r="AW196"/>
  <c r="AF192"/>
  <c r="AJ192"/>
  <c r="AP192"/>
  <c r="AM192"/>
  <c r="AX190"/>
  <c r="O154"/>
  <c r="X154"/>
  <c r="X677" s="1"/>
  <c r="AE154"/>
  <c r="AI154"/>
  <c r="AK168"/>
  <c r="AL168" s="1"/>
  <c r="AL171"/>
  <c r="R176"/>
  <c r="AX183"/>
  <c r="AQ183"/>
  <c r="AS183" s="1"/>
  <c r="AY183" s="1"/>
  <c r="AW184"/>
  <c r="S190"/>
  <c r="V190" s="1"/>
  <c r="M154"/>
  <c r="AM154"/>
  <c r="R168"/>
  <c r="AW171"/>
  <c r="S177"/>
  <c r="V177" s="1"/>
  <c r="AW179"/>
  <c r="AV180"/>
  <c r="AW180" s="1"/>
  <c r="AV186"/>
  <c r="AW186" s="1"/>
  <c r="AW188"/>
  <c r="AV190"/>
  <c r="AW190" s="1"/>
  <c r="AG154"/>
  <c r="AL179"/>
  <c r="AQ180"/>
  <c r="AS180" s="1"/>
  <c r="AY180" s="1"/>
  <c r="AW181"/>
  <c r="AX186"/>
  <c r="AQ186"/>
  <c r="AS186" s="1"/>
  <c r="AY186" s="1"/>
  <c r="AL188"/>
  <c r="AQ190"/>
  <c r="AS190" s="1"/>
  <c r="AY190" s="1"/>
  <c r="AL166"/>
  <c r="R155"/>
  <c r="AL161"/>
  <c r="AL164"/>
  <c r="U155"/>
  <c r="AU155" s="1"/>
  <c r="AD155"/>
  <c r="AL155"/>
  <c r="AV158"/>
  <c r="AW158" s="1"/>
  <c r="AW161"/>
  <c r="AW164"/>
  <c r="AV167"/>
  <c r="AW167" s="1"/>
  <c r="AX158"/>
  <c r="AQ158"/>
  <c r="AZ158" s="1"/>
  <c r="AL162"/>
  <c r="Q137"/>
  <c r="R137" s="1"/>
  <c r="AV142"/>
  <c r="AW142" s="1"/>
  <c r="R153"/>
  <c r="U137"/>
  <c r="AU137" s="1"/>
  <c r="AD137"/>
  <c r="AL137"/>
  <c r="AQ142"/>
  <c r="AZ142" s="1"/>
  <c r="AL148"/>
  <c r="AQ148" s="1"/>
  <c r="AL150"/>
  <c r="R152"/>
  <c r="AV153"/>
  <c r="AW153" s="1"/>
  <c r="AW140"/>
  <c r="AV148"/>
  <c r="AX148" s="1"/>
  <c r="AX153"/>
  <c r="AQ153"/>
  <c r="AZ153" s="1"/>
  <c r="AW135"/>
  <c r="AV129"/>
  <c r="AX129" s="1"/>
  <c r="R129"/>
  <c r="AL129"/>
  <c r="AL135"/>
  <c r="Q118"/>
  <c r="S118" s="1"/>
  <c r="AU118"/>
  <c r="AE87"/>
  <c r="AI87"/>
  <c r="Q114"/>
  <c r="R114" s="1"/>
  <c r="R113"/>
  <c r="S110"/>
  <c r="V110" s="1"/>
  <c r="U110"/>
  <c r="S102"/>
  <c r="V102" s="1"/>
  <c r="U102"/>
  <c r="AC102"/>
  <c r="AD102"/>
  <c r="AS104"/>
  <c r="AV108"/>
  <c r="AX108" s="1"/>
  <c r="Q102"/>
  <c r="R102" s="1"/>
  <c r="R106"/>
  <c r="R108"/>
  <c r="AL108"/>
  <c r="R101"/>
  <c r="AW91"/>
  <c r="Y87"/>
  <c r="Q88"/>
  <c r="R88" s="1"/>
  <c r="O87"/>
  <c r="Q87" s="1"/>
  <c r="U88"/>
  <c r="AU88" s="1"/>
  <c r="AD88"/>
  <c r="AL91"/>
  <c r="AW92"/>
  <c r="R97"/>
  <c r="AZ83"/>
  <c r="R86"/>
  <c r="AL86"/>
  <c r="U77"/>
  <c r="AU77" s="1"/>
  <c r="AD77"/>
  <c r="AZ79"/>
  <c r="AQ86"/>
  <c r="AR86" s="1"/>
  <c r="AX72"/>
  <c r="S69"/>
  <c r="V69" s="1"/>
  <c r="R74"/>
  <c r="AL74"/>
  <c r="AR68"/>
  <c r="AS68"/>
  <c r="AY68" s="1"/>
  <c r="Q53"/>
  <c r="AL68"/>
  <c r="AV68"/>
  <c r="AX68" s="1"/>
  <c r="AZ60"/>
  <c r="AL62"/>
  <c r="S66"/>
  <c r="V66" s="1"/>
  <c r="AV58"/>
  <c r="AX58" s="1"/>
  <c r="R61"/>
  <c r="AL61"/>
  <c r="R64"/>
  <c r="AS65"/>
  <c r="AL66"/>
  <c r="AS67"/>
  <c r="AW66"/>
  <c r="AD45"/>
  <c r="R52"/>
  <c r="S45"/>
  <c r="AZ46"/>
  <c r="R48"/>
  <c r="S49"/>
  <c r="V49" s="1"/>
  <c r="R44"/>
  <c r="AZ29"/>
  <c r="AZ21"/>
  <c r="AP19"/>
  <c r="AR29"/>
  <c r="AC16"/>
  <c r="AO16"/>
  <c r="AP16" s="1"/>
  <c r="AS16"/>
  <c r="AY16" s="1"/>
  <c r="AB15"/>
  <c r="AC15" s="1"/>
  <c r="AC10"/>
  <c r="AS27"/>
  <c r="AY27" s="1"/>
  <c r="AQ15"/>
  <c r="AR16"/>
  <c r="AR11"/>
  <c r="AQ10"/>
  <c r="AQ221"/>
  <c r="AZ221" s="1"/>
  <c r="AV50"/>
  <c r="AW50" s="1"/>
  <c r="AQ50"/>
  <c r="AL50"/>
  <c r="AW51"/>
  <c r="AX51"/>
  <c r="AW44"/>
  <c r="AN33"/>
  <c r="Q35"/>
  <c r="R35" s="1"/>
  <c r="N34"/>
  <c r="AR80"/>
  <c r="AZ80"/>
  <c r="AS80"/>
  <c r="AY80" s="1"/>
  <c r="AX38"/>
  <c r="AW41"/>
  <c r="AX50"/>
  <c r="AL52"/>
  <c r="AQ52"/>
  <c r="AV52"/>
  <c r="AW52" s="1"/>
  <c r="AC77"/>
  <c r="AP18"/>
  <c r="AP22"/>
  <c r="AP26"/>
  <c r="X33"/>
  <c r="AB34"/>
  <c r="AC35"/>
  <c r="Q39"/>
  <c r="AL41"/>
  <c r="AQ42"/>
  <c r="AV42"/>
  <c r="AW42" s="1"/>
  <c r="AL44"/>
  <c r="V45"/>
  <c r="AZ47"/>
  <c r="W45"/>
  <c r="W34" s="1"/>
  <c r="AK48"/>
  <c r="AQ51"/>
  <c r="S53"/>
  <c r="AD53"/>
  <c r="AU53"/>
  <c r="AL58"/>
  <c r="AZ59"/>
  <c r="S62"/>
  <c r="V62" s="1"/>
  <c r="AX62"/>
  <c r="S68"/>
  <c r="V68" s="1"/>
  <c r="AZ68"/>
  <c r="AU69"/>
  <c r="AS72"/>
  <c r="AY72" s="1"/>
  <c r="AQ74"/>
  <c r="AL76"/>
  <c r="Q77"/>
  <c r="R77" s="1"/>
  <c r="AZ78"/>
  <c r="AV80"/>
  <c r="AQ82"/>
  <c r="AK84"/>
  <c r="AZ85"/>
  <c r="AS86"/>
  <c r="V118"/>
  <c r="AW131"/>
  <c r="AW148"/>
  <c r="AX184"/>
  <c r="AX191"/>
  <c r="V200"/>
  <c r="AX207"/>
  <c r="AW232"/>
  <c r="AW236"/>
  <c r="AC45"/>
  <c r="AC53"/>
  <c r="AC87"/>
  <c r="AL94"/>
  <c r="AK88"/>
  <c r="AV94"/>
  <c r="AW94" s="1"/>
  <c r="AQ94"/>
  <c r="R105"/>
  <c r="S105"/>
  <c r="V105" s="1"/>
  <c r="R107"/>
  <c r="S107"/>
  <c r="V107" s="1"/>
  <c r="AL109"/>
  <c r="AV109"/>
  <c r="AW109" s="1"/>
  <c r="AQ109"/>
  <c r="AL126"/>
  <c r="AV126"/>
  <c r="AW126" s="1"/>
  <c r="AQ126"/>
  <c r="AK123"/>
  <c r="AL133"/>
  <c r="AV133"/>
  <c r="AW133" s="1"/>
  <c r="AQ133"/>
  <c r="AR221"/>
  <c r="S35"/>
  <c r="V35" s="1"/>
  <c r="AK39"/>
  <c r="AK35" s="1"/>
  <c r="U45"/>
  <c r="AU45"/>
  <c r="R53"/>
  <c r="AW58"/>
  <c r="AZ72"/>
  <c r="S77"/>
  <c r="V77" s="1"/>
  <c r="AZ86"/>
  <c r="AX161"/>
  <c r="V168"/>
  <c r="AX171"/>
  <c r="AC69"/>
  <c r="AL72"/>
  <c r="AK69"/>
  <c r="AL97"/>
  <c r="AV97"/>
  <c r="AW97" s="1"/>
  <c r="AQ97"/>
  <c r="AL106"/>
  <c r="AV106"/>
  <c r="AW106" s="1"/>
  <c r="AQ106"/>
  <c r="AL117"/>
  <c r="AK114"/>
  <c r="AV117"/>
  <c r="AW117" s="1"/>
  <c r="AQ117"/>
  <c r="AZ193"/>
  <c r="AR193"/>
  <c r="AS193"/>
  <c r="AL218"/>
  <c r="AV218"/>
  <c r="AW218" s="1"/>
  <c r="AQ218"/>
  <c r="AP20"/>
  <c r="AP24"/>
  <c r="AL27"/>
  <c r="AP28"/>
  <c r="Z33"/>
  <c r="M34"/>
  <c r="U34" s="1"/>
  <c r="AU34" s="1"/>
  <c r="AQ38"/>
  <c r="AK49"/>
  <c r="AL51"/>
  <c r="S58"/>
  <c r="V58" s="1"/>
  <c r="AS58"/>
  <c r="AY58" s="1"/>
  <c r="AW68"/>
  <c r="R69"/>
  <c r="AV74"/>
  <c r="S76"/>
  <c r="V76" s="1"/>
  <c r="AV82"/>
  <c r="AX94"/>
  <c r="AW129"/>
  <c r="S136"/>
  <c r="S137"/>
  <c r="AW173"/>
  <c r="AW176"/>
  <c r="AX179"/>
  <c r="AX188"/>
  <c r="AW211"/>
  <c r="AW214"/>
  <c r="AW228"/>
  <c r="AK56"/>
  <c r="AG53"/>
  <c r="AG34" s="1"/>
  <c r="AV61"/>
  <c r="AW61" s="1"/>
  <c r="AQ61"/>
  <c r="AV64"/>
  <c r="AW64" s="1"/>
  <c r="AQ64"/>
  <c r="AL80"/>
  <c r="AK77"/>
  <c r="R94"/>
  <c r="S94"/>
  <c r="V94" s="1"/>
  <c r="AL101"/>
  <c r="AV101"/>
  <c r="AW101" s="1"/>
  <c r="AQ101"/>
  <c r="AL105"/>
  <c r="AK102"/>
  <c r="AV105"/>
  <c r="AW105" s="1"/>
  <c r="AQ105"/>
  <c r="AV107"/>
  <c r="AW107" s="1"/>
  <c r="AL121"/>
  <c r="AV121"/>
  <c r="AW121" s="1"/>
  <c r="AQ121"/>
  <c r="AK118"/>
  <c r="U35"/>
  <c r="AU35" s="1"/>
  <c r="AQ41"/>
  <c r="AQ44"/>
  <c r="V53"/>
  <c r="AZ58"/>
  <c r="AW72"/>
  <c r="AW86"/>
  <c r="AX97"/>
  <c r="AX117"/>
  <c r="AX135"/>
  <c r="AL303"/>
  <c r="AK291"/>
  <c r="AV303"/>
  <c r="AW303" s="1"/>
  <c r="AQ303"/>
  <c r="AL308"/>
  <c r="AV308"/>
  <c r="AW308" s="1"/>
  <c r="AQ308"/>
  <c r="AL389"/>
  <c r="AV389"/>
  <c r="AW389" s="1"/>
  <c r="AQ389"/>
  <c r="R395"/>
  <c r="S395"/>
  <c r="M87"/>
  <c r="W88"/>
  <c r="AL92"/>
  <c r="W102"/>
  <c r="AD114"/>
  <c r="AT114"/>
  <c r="Q117"/>
  <c r="AC118"/>
  <c r="AG118"/>
  <c r="AG87" s="1"/>
  <c r="AB122"/>
  <c r="AC123"/>
  <c r="AV137"/>
  <c r="AW137" s="1"/>
  <c r="N154"/>
  <c r="Q154" s="1"/>
  <c r="AA154"/>
  <c r="AV155"/>
  <c r="AV168"/>
  <c r="AL173"/>
  <c r="AL176"/>
  <c r="AR180"/>
  <c r="AQ181"/>
  <c r="AR183"/>
  <c r="AQ184"/>
  <c r="AL191"/>
  <c r="N192"/>
  <c r="Q192" s="1"/>
  <c r="S192" s="1"/>
  <c r="V192" s="1"/>
  <c r="AB192"/>
  <c r="U193"/>
  <c r="AL193"/>
  <c r="AT193"/>
  <c r="AU193" s="1"/>
  <c r="AQ196"/>
  <c r="AQ198"/>
  <c r="AV198"/>
  <c r="AW198" s="1"/>
  <c r="AR203"/>
  <c r="AQ204"/>
  <c r="AL207"/>
  <c r="AZ209"/>
  <c r="AR211"/>
  <c r="AR214"/>
  <c r="U225"/>
  <c r="AU225" s="1"/>
  <c r="AL225"/>
  <c r="AL228"/>
  <c r="AS229"/>
  <c r="AY229" s="1"/>
  <c r="AR232"/>
  <c r="AS234"/>
  <c r="AY234" s="1"/>
  <c r="AL236"/>
  <c r="AS240"/>
  <c r="AY240" s="1"/>
  <c r="U248"/>
  <c r="AU248" s="1"/>
  <c r="AS252"/>
  <c r="AY252" s="1"/>
  <c r="AS262"/>
  <c r="AY262" s="1"/>
  <c r="AX267"/>
  <c r="AV269"/>
  <c r="M270"/>
  <c r="V271"/>
  <c r="AD271"/>
  <c r="AX274"/>
  <c r="AX286"/>
  <c r="AX312"/>
  <c r="AX317"/>
  <c r="AX320"/>
  <c r="V329"/>
  <c r="AX340"/>
  <c r="AX347"/>
  <c r="AW354"/>
  <c r="AX358"/>
  <c r="AL365"/>
  <c r="AL370"/>
  <c r="AX382"/>
  <c r="AX385"/>
  <c r="AW388"/>
  <c r="AW391"/>
  <c r="AX398"/>
  <c r="AV239"/>
  <c r="AW239" s="1"/>
  <c r="AQ239"/>
  <c r="AR277"/>
  <c r="AS277"/>
  <c r="AY277" s="1"/>
  <c r="AL284"/>
  <c r="AV284"/>
  <c r="AQ284"/>
  <c r="AK271"/>
  <c r="AZ351"/>
  <c r="AR351"/>
  <c r="AS351"/>
  <c r="AW366"/>
  <c r="AX366"/>
  <c r="AL377"/>
  <c r="AV377"/>
  <c r="AW377" s="1"/>
  <c r="AQ377"/>
  <c r="AK374"/>
  <c r="S91"/>
  <c r="V91" s="1"/>
  <c r="AQ96"/>
  <c r="AV96"/>
  <c r="AW96" s="1"/>
  <c r="AQ99"/>
  <c r="AV99"/>
  <c r="AW99" s="1"/>
  <c r="AS108"/>
  <c r="AY108" s="1"/>
  <c r="AD110"/>
  <c r="AQ113"/>
  <c r="AV113"/>
  <c r="AW113" s="1"/>
  <c r="AS129"/>
  <c r="AY129" s="1"/>
  <c r="AS131"/>
  <c r="AY131" s="1"/>
  <c r="S133"/>
  <c r="V133" s="1"/>
  <c r="S135"/>
  <c r="V135" s="1"/>
  <c r="L136"/>
  <c r="T136"/>
  <c r="V137"/>
  <c r="AQ137"/>
  <c r="G136" i="84" s="1"/>
  <c r="S140" i="83"/>
  <c r="V140" s="1"/>
  <c r="AS142"/>
  <c r="AY142" s="1"/>
  <c r="AQ145"/>
  <c r="AV145"/>
  <c r="AW145" s="1"/>
  <c r="AQ147"/>
  <c r="AV147"/>
  <c r="AW147" s="1"/>
  <c r="AQ150"/>
  <c r="AV150"/>
  <c r="AW150" s="1"/>
  <c r="AQ152"/>
  <c r="AV152"/>
  <c r="AW152" s="1"/>
  <c r="AS153"/>
  <c r="AY153" s="1"/>
  <c r="AQ155"/>
  <c r="AQ159"/>
  <c r="AV159"/>
  <c r="AW159" s="1"/>
  <c r="AQ162"/>
  <c r="AV162"/>
  <c r="AW162" s="1"/>
  <c r="S166"/>
  <c r="V166" s="1"/>
  <c r="AQ166"/>
  <c r="AV166"/>
  <c r="AS167"/>
  <c r="AY167" s="1"/>
  <c r="U168"/>
  <c r="AU168" s="1"/>
  <c r="AX168" s="1"/>
  <c r="AD168"/>
  <c r="AQ168"/>
  <c r="AQ177"/>
  <c r="AV177"/>
  <c r="AW177" s="1"/>
  <c r="AZ180"/>
  <c r="AZ183"/>
  <c r="AZ203"/>
  <c r="AZ211"/>
  <c r="AZ214"/>
  <c r="AZ232"/>
  <c r="AZ240"/>
  <c r="AX251"/>
  <c r="AZ252"/>
  <c r="AZ262"/>
  <c r="AW266"/>
  <c r="AX289"/>
  <c r="AX308"/>
  <c r="AK257"/>
  <c r="AH248"/>
  <c r="AH192" s="1"/>
  <c r="AR280"/>
  <c r="AS280"/>
  <c r="AY280" s="1"/>
  <c r="AL287"/>
  <c r="AV287"/>
  <c r="AW287" s="1"/>
  <c r="AQ287"/>
  <c r="AZ388"/>
  <c r="AS388"/>
  <c r="AY388" s="1"/>
  <c r="AL413"/>
  <c r="AK395"/>
  <c r="AV413"/>
  <c r="AW413" s="1"/>
  <c r="AQ413"/>
  <c r="AQ62"/>
  <c r="AQ66"/>
  <c r="AQ91"/>
  <c r="AQ92"/>
  <c r="AR108"/>
  <c r="AC110"/>
  <c r="AK110"/>
  <c r="M122"/>
  <c r="AD122" s="1"/>
  <c r="N123"/>
  <c r="Q126"/>
  <c r="AR129"/>
  <c r="AQ135"/>
  <c r="AC136"/>
  <c r="AK136"/>
  <c r="AQ140"/>
  <c r="AR142"/>
  <c r="AR153"/>
  <c r="L154"/>
  <c r="AC154" s="1"/>
  <c r="T154"/>
  <c r="AK154"/>
  <c r="AQ161"/>
  <c r="AQ164"/>
  <c r="AR167"/>
  <c r="AC168"/>
  <c r="AQ171"/>
  <c r="AQ179"/>
  <c r="AQ188"/>
  <c r="AV193"/>
  <c r="AW193" s="1"/>
  <c r="AC200"/>
  <c r="AK200"/>
  <c r="AX209"/>
  <c r="AQ213"/>
  <c r="AQ216"/>
  <c r="AQ220"/>
  <c r="AC221"/>
  <c r="AQ224"/>
  <c r="AV225"/>
  <c r="AW225" s="1"/>
  <c r="AS247"/>
  <c r="AY247" s="1"/>
  <c r="AS266"/>
  <c r="AY266" s="1"/>
  <c r="AQ269"/>
  <c r="AX280"/>
  <c r="AW301"/>
  <c r="AX306"/>
  <c r="AX325"/>
  <c r="AX332"/>
  <c r="AX343"/>
  <c r="AL355"/>
  <c r="AX360"/>
  <c r="AL362"/>
  <c r="AW393"/>
  <c r="AW363"/>
  <c r="AX363"/>
  <c r="U123"/>
  <c r="AU123" s="1"/>
  <c r="AQ173"/>
  <c r="AQ176"/>
  <c r="AQ191"/>
  <c r="AQ207"/>
  <c r="AQ228"/>
  <c r="AQ236"/>
  <c r="AW240"/>
  <c r="AD248"/>
  <c r="AW252"/>
  <c r="AW259"/>
  <c r="AW262"/>
  <c r="AZ266"/>
  <c r="T270"/>
  <c r="AD270" s="1"/>
  <c r="AZ277"/>
  <c r="AW371"/>
  <c r="AX389"/>
  <c r="AL420"/>
  <c r="AK417"/>
  <c r="AA443"/>
  <c r="AD444"/>
  <c r="AZ473"/>
  <c r="AR473"/>
  <c r="AS473"/>
  <c r="AZ504"/>
  <c r="AR504"/>
  <c r="AS504"/>
  <c r="AS529"/>
  <c r="AZ529"/>
  <c r="AR529"/>
  <c r="AS251"/>
  <c r="AY251" s="1"/>
  <c r="AQ255"/>
  <c r="AQ260"/>
  <c r="AS267"/>
  <c r="AY267" s="1"/>
  <c r="AQ274"/>
  <c r="AQ279"/>
  <c r="AZ282"/>
  <c r="W291"/>
  <c r="W290" s="1"/>
  <c r="AQ306"/>
  <c r="AR323"/>
  <c r="AQ332"/>
  <c r="AQ340"/>
  <c r="AQ343"/>
  <c r="AL351"/>
  <c r="AQ358"/>
  <c r="AQ360"/>
  <c r="AZ363"/>
  <c r="AZ366"/>
  <c r="AZ368"/>
  <c r="U370"/>
  <c r="AU370" s="1"/>
  <c r="S373"/>
  <c r="V373" s="1"/>
  <c r="AD373"/>
  <c r="AL373" s="1"/>
  <c r="AC374"/>
  <c r="AG374"/>
  <c r="AG290" s="1"/>
  <c r="AZ394"/>
  <c r="AZ402"/>
  <c r="AZ405"/>
  <c r="AZ408"/>
  <c r="V417"/>
  <c r="AU417"/>
  <c r="AS430"/>
  <c r="AY430" s="1"/>
  <c r="AX476"/>
  <c r="V487"/>
  <c r="AX490"/>
  <c r="AX507"/>
  <c r="AX519"/>
  <c r="AW523"/>
  <c r="AW532"/>
  <c r="AX535"/>
  <c r="AW537"/>
  <c r="AW538"/>
  <c r="AX540"/>
  <c r="AW542"/>
  <c r="S549"/>
  <c r="V549" s="1"/>
  <c r="N443"/>
  <c r="Q444"/>
  <c r="U444"/>
  <c r="AU444" s="1"/>
  <c r="T443"/>
  <c r="Q291"/>
  <c r="S291" s="1"/>
  <c r="V291" s="1"/>
  <c r="AS294"/>
  <c r="AY294" s="1"/>
  <c r="S299"/>
  <c r="V299" s="1"/>
  <c r="AQ299"/>
  <c r="AV299"/>
  <c r="AW299" s="1"/>
  <c r="AS301"/>
  <c r="AY301" s="1"/>
  <c r="S305"/>
  <c r="V305" s="1"/>
  <c r="AQ305"/>
  <c r="AV305"/>
  <c r="AW305" s="1"/>
  <c r="AQ315"/>
  <c r="AV315"/>
  <c r="AW315" s="1"/>
  <c r="AQ318"/>
  <c r="AV318"/>
  <c r="AW318" s="1"/>
  <c r="AQ321"/>
  <c r="AV321"/>
  <c r="AW321" s="1"/>
  <c r="AQ326"/>
  <c r="AV326"/>
  <c r="AW326" s="1"/>
  <c r="AK329"/>
  <c r="AS333"/>
  <c r="AY333" s="1"/>
  <c r="AS338"/>
  <c r="AY338" s="1"/>
  <c r="AQ342"/>
  <c r="AV342"/>
  <c r="AW342" s="1"/>
  <c r="AQ345"/>
  <c r="AV345"/>
  <c r="AW345" s="1"/>
  <c r="AS350"/>
  <c r="AY350" s="1"/>
  <c r="M351"/>
  <c r="R351" s="1"/>
  <c r="S354"/>
  <c r="V354" s="1"/>
  <c r="U355"/>
  <c r="AU355" s="1"/>
  <c r="AX355" s="1"/>
  <c r="AS355"/>
  <c r="AY355" s="1"/>
  <c r="U362"/>
  <c r="AU362" s="1"/>
  <c r="AX362" s="1"/>
  <c r="AS362"/>
  <c r="AY362" s="1"/>
  <c r="U365"/>
  <c r="AU365" s="1"/>
  <c r="AX365" s="1"/>
  <c r="AS365"/>
  <c r="AY365" s="1"/>
  <c r="S370"/>
  <c r="V370" s="1"/>
  <c r="AQ370"/>
  <c r="AV370"/>
  <c r="AW370" s="1"/>
  <c r="S371"/>
  <c r="V371" s="1"/>
  <c r="R373"/>
  <c r="AQ373"/>
  <c r="AV373"/>
  <c r="AW373" s="1"/>
  <c r="S374"/>
  <c r="V374" s="1"/>
  <c r="AQ380"/>
  <c r="AV380"/>
  <c r="AW380" s="1"/>
  <c r="AQ383"/>
  <c r="AV383"/>
  <c r="AW383" s="1"/>
  <c r="AQ386"/>
  <c r="AV386"/>
  <c r="AW386" s="1"/>
  <c r="AS391"/>
  <c r="AY391" s="1"/>
  <c r="AS393"/>
  <c r="V395"/>
  <c r="AQ399"/>
  <c r="AV399"/>
  <c r="AW399" s="1"/>
  <c r="AQ404"/>
  <c r="AV404"/>
  <c r="AW404" s="1"/>
  <c r="AQ407"/>
  <c r="AV407"/>
  <c r="AW407" s="1"/>
  <c r="AQ410"/>
  <c r="AV410"/>
  <c r="AW410" s="1"/>
  <c r="AQ412"/>
  <c r="AV412"/>
  <c r="AW412" s="1"/>
  <c r="S415"/>
  <c r="V415" s="1"/>
  <c r="AW420"/>
  <c r="AZ430"/>
  <c r="AW434"/>
  <c r="AW437"/>
  <c r="AW442"/>
  <c r="S473"/>
  <c r="V473" s="1"/>
  <c r="AC417"/>
  <c r="AQ242"/>
  <c r="AQ245"/>
  <c r="AQ264"/>
  <c r="AQ286"/>
  <c r="AQ289"/>
  <c r="T290"/>
  <c r="AB290"/>
  <c r="AR294"/>
  <c r="AQ297"/>
  <c r="AC309"/>
  <c r="AK309"/>
  <c r="AQ312"/>
  <c r="AQ317"/>
  <c r="AQ320"/>
  <c r="AQ325"/>
  <c r="AQ328"/>
  <c r="AR333"/>
  <c r="AQ336"/>
  <c r="AR338"/>
  <c r="AQ347"/>
  <c r="AR350"/>
  <c r="AQ354"/>
  <c r="S355"/>
  <c r="V355" s="1"/>
  <c r="AR355"/>
  <c r="S362"/>
  <c r="V362" s="1"/>
  <c r="AR362"/>
  <c r="S365"/>
  <c r="V365" s="1"/>
  <c r="AR365"/>
  <c r="AQ371"/>
  <c r="AQ382"/>
  <c r="AQ385"/>
  <c r="AR391"/>
  <c r="AR393"/>
  <c r="AQ398"/>
  <c r="AQ415"/>
  <c r="AS420"/>
  <c r="AY420" s="1"/>
  <c r="AS425"/>
  <c r="AY425" s="1"/>
  <c r="AS428"/>
  <c r="AY428" s="1"/>
  <c r="AS434"/>
  <c r="AY434" s="1"/>
  <c r="AS437"/>
  <c r="AY437" s="1"/>
  <c r="AS442"/>
  <c r="AY442" s="1"/>
  <c r="AC444"/>
  <c r="AW460"/>
  <c r="AW465"/>
  <c r="AX471"/>
  <c r="AX479"/>
  <c r="AX481"/>
  <c r="AX483"/>
  <c r="AX486"/>
  <c r="AX493"/>
  <c r="AX495"/>
  <c r="AX497"/>
  <c r="AX501"/>
  <c r="AX510"/>
  <c r="AX513"/>
  <c r="AX544"/>
  <c r="AV444"/>
  <c r="AQ444"/>
  <c r="G345" i="84" s="1"/>
  <c r="U374" i="83"/>
  <c r="AU374" s="1"/>
  <c r="AZ420"/>
  <c r="AZ425"/>
  <c r="AZ428"/>
  <c r="AZ434"/>
  <c r="AZ437"/>
  <c r="AZ442"/>
  <c r="AU457"/>
  <c r="AX528"/>
  <c r="AV552"/>
  <c r="AW552" s="1"/>
  <c r="AQ552"/>
  <c r="AK549"/>
  <c r="AQ423"/>
  <c r="AQ426"/>
  <c r="AQ429"/>
  <c r="AQ432"/>
  <c r="AK457"/>
  <c r="AL460"/>
  <c r="AQ462"/>
  <c r="AL465"/>
  <c r="AQ467"/>
  <c r="AR469"/>
  <c r="AR472"/>
  <c r="U473"/>
  <c r="AU473" s="1"/>
  <c r="AL473"/>
  <c r="AL476"/>
  <c r="AL481"/>
  <c r="AQ483"/>
  <c r="AQ486"/>
  <c r="AC487"/>
  <c r="AK487"/>
  <c r="AL490"/>
  <c r="AL495"/>
  <c r="AQ497"/>
  <c r="U504"/>
  <c r="AU504" s="1"/>
  <c r="AL504"/>
  <c r="AL507"/>
  <c r="AQ513"/>
  <c r="AR515"/>
  <c r="AS517"/>
  <c r="AY517" s="1"/>
  <c r="AL519"/>
  <c r="AS520"/>
  <c r="AY520" s="1"/>
  <c r="AX520"/>
  <c r="AQ522"/>
  <c r="AL523"/>
  <c r="AQ525"/>
  <c r="AQ528"/>
  <c r="AV529"/>
  <c r="AW529" s="1"/>
  <c r="AR532"/>
  <c r="AL535"/>
  <c r="AL537"/>
  <c r="AR538"/>
  <c r="AL540"/>
  <c r="AL542"/>
  <c r="AL544"/>
  <c r="AC548"/>
  <c r="AX560"/>
  <c r="AW582"/>
  <c r="AW587"/>
  <c r="AX601"/>
  <c r="AW610"/>
  <c r="AX614"/>
  <c r="AX616"/>
  <c r="AX627"/>
  <c r="AX629"/>
  <c r="AX632"/>
  <c r="AX644"/>
  <c r="AX647"/>
  <c r="AX650"/>
  <c r="AW656"/>
  <c r="AX662"/>
  <c r="AX667"/>
  <c r="AW659"/>
  <c r="AX659"/>
  <c r="AV469"/>
  <c r="AW469" s="1"/>
  <c r="AZ469"/>
  <c r="AZ472"/>
  <c r="AQ485"/>
  <c r="AV485"/>
  <c r="AW485" s="1"/>
  <c r="AQ499"/>
  <c r="AV499"/>
  <c r="AW499" s="1"/>
  <c r="AQ503"/>
  <c r="AV503"/>
  <c r="AW503" s="1"/>
  <c r="AQ512"/>
  <c r="AV512"/>
  <c r="AW512" s="1"/>
  <c r="AZ515"/>
  <c r="AQ521"/>
  <c r="AV521"/>
  <c r="AW521" s="1"/>
  <c r="AQ527"/>
  <c r="AV527"/>
  <c r="AW527" s="1"/>
  <c r="AZ532"/>
  <c r="AZ538"/>
  <c r="AQ545"/>
  <c r="AV545"/>
  <c r="AW545" s="1"/>
  <c r="AQ547"/>
  <c r="AV547"/>
  <c r="AW547" s="1"/>
  <c r="U549"/>
  <c r="AU549" s="1"/>
  <c r="AX592"/>
  <c r="AX595"/>
  <c r="AX599"/>
  <c r="AL670"/>
  <c r="AK653"/>
  <c r="AV670"/>
  <c r="AW670" s="1"/>
  <c r="AQ670"/>
  <c r="AQ436"/>
  <c r="AQ439"/>
  <c r="AQ471"/>
  <c r="AV473"/>
  <c r="AW473" s="1"/>
  <c r="AQ493"/>
  <c r="AQ501"/>
  <c r="AV504"/>
  <c r="AD549"/>
  <c r="S556"/>
  <c r="V556" s="1"/>
  <c r="AW585"/>
  <c r="AX617"/>
  <c r="AW623"/>
  <c r="AW634"/>
  <c r="AW641"/>
  <c r="AC549"/>
  <c r="AL558"/>
  <c r="AV558"/>
  <c r="AQ558"/>
  <c r="R607"/>
  <c r="S607"/>
  <c r="V607" s="1"/>
  <c r="AK636"/>
  <c r="AL649"/>
  <c r="AV649"/>
  <c r="AW649" s="1"/>
  <c r="AQ649"/>
  <c r="AQ460"/>
  <c r="AQ465"/>
  <c r="AQ476"/>
  <c r="AQ481"/>
  <c r="AQ490"/>
  <c r="AQ495"/>
  <c r="AQ507"/>
  <c r="AQ519"/>
  <c r="AQ523"/>
  <c r="AQ535"/>
  <c r="AQ537"/>
  <c r="AQ540"/>
  <c r="AQ542"/>
  <c r="AQ544"/>
  <c r="AW553"/>
  <c r="AW556"/>
  <c r="AX563"/>
  <c r="AX621"/>
  <c r="AZ556"/>
  <c r="AZ559"/>
  <c r="U578"/>
  <c r="AU578" s="1"/>
  <c r="AL578"/>
  <c r="R581"/>
  <c r="AZ581"/>
  <c r="AL582"/>
  <c r="AZ591"/>
  <c r="AC607"/>
  <c r="AK607"/>
  <c r="AL610"/>
  <c r="AL616"/>
  <c r="AQ621"/>
  <c r="AR623"/>
  <c r="AL629"/>
  <c r="AQ631"/>
  <c r="AL632"/>
  <c r="AL634"/>
  <c r="AA635"/>
  <c r="AL641"/>
  <c r="AL644"/>
  <c r="AL647"/>
  <c r="AQ652"/>
  <c r="AQ658"/>
  <c r="AZ659"/>
  <c r="AS664"/>
  <c r="AY664" s="1"/>
  <c r="AX664"/>
  <c r="AQ665"/>
  <c r="AQ667"/>
  <c r="AQ561"/>
  <c r="AV561"/>
  <c r="AW561" s="1"/>
  <c r="AQ564"/>
  <c r="AV564"/>
  <c r="AW564" s="1"/>
  <c r="AQ566"/>
  <c r="AV566"/>
  <c r="AW566" s="1"/>
  <c r="AQ568"/>
  <c r="AV568"/>
  <c r="AW568" s="1"/>
  <c r="AQ570"/>
  <c r="AV570"/>
  <c r="AW570" s="1"/>
  <c r="S574"/>
  <c r="V574" s="1"/>
  <c r="AQ575"/>
  <c r="AV575"/>
  <c r="AW575" s="1"/>
  <c r="AS585"/>
  <c r="AY585" s="1"/>
  <c r="AS587"/>
  <c r="AY587" s="1"/>
  <c r="AQ593"/>
  <c r="AV593"/>
  <c r="AW593" s="1"/>
  <c r="S599"/>
  <c r="V599" s="1"/>
  <c r="S601"/>
  <c r="V601" s="1"/>
  <c r="AQ602"/>
  <c r="AV602"/>
  <c r="AW602" s="1"/>
  <c r="AQ604"/>
  <c r="AV604"/>
  <c r="AW604" s="1"/>
  <c r="AQ606"/>
  <c r="AV606"/>
  <c r="AW606" s="1"/>
  <c r="AQ620"/>
  <c r="AV620"/>
  <c r="AW620" s="1"/>
  <c r="AZ623"/>
  <c r="AQ638"/>
  <c r="AV638"/>
  <c r="AW638" s="1"/>
  <c r="AQ643"/>
  <c r="AV643"/>
  <c r="AW643" s="1"/>
  <c r="AQ645"/>
  <c r="AV645"/>
  <c r="AW645" s="1"/>
  <c r="S650"/>
  <c r="V650" s="1"/>
  <c r="V653"/>
  <c r="S662"/>
  <c r="V662" s="1"/>
  <c r="S664"/>
  <c r="V664" s="1"/>
  <c r="AS668"/>
  <c r="AY668" s="1"/>
  <c r="S670"/>
  <c r="V670" s="1"/>
  <c r="S672"/>
  <c r="V672" s="1"/>
  <c r="AQ672"/>
  <c r="AV672"/>
  <c r="S673"/>
  <c r="V673" s="1"/>
  <c r="AR673"/>
  <c r="AQ560"/>
  <c r="AQ563"/>
  <c r="AQ572"/>
  <c r="AQ574"/>
  <c r="AQ577"/>
  <c r="AV578"/>
  <c r="AX581"/>
  <c r="AR585"/>
  <c r="AQ588"/>
  <c r="AQ592"/>
  <c r="AQ595"/>
  <c r="AQ597"/>
  <c r="AQ599"/>
  <c r="AQ601"/>
  <c r="AQ611"/>
  <c r="AQ614"/>
  <c r="AQ617"/>
  <c r="AQ619"/>
  <c r="AQ625"/>
  <c r="AQ627"/>
  <c r="L635"/>
  <c r="T635"/>
  <c r="AQ650"/>
  <c r="AQ662"/>
  <c r="AR668"/>
  <c r="AQ582"/>
  <c r="U607"/>
  <c r="AU607" s="1"/>
  <c r="AQ610"/>
  <c r="AQ616"/>
  <c r="AQ629"/>
  <c r="AQ632"/>
  <c r="AQ634"/>
  <c r="AQ641"/>
  <c r="AQ644"/>
  <c r="AQ647"/>
  <c r="H274" i="84" l="1"/>
  <c r="E514"/>
  <c r="F514" s="1"/>
  <c r="I515"/>
  <c r="I449"/>
  <c r="F545"/>
  <c r="I431"/>
  <c r="J431" s="1"/>
  <c r="I274"/>
  <c r="J274" s="1"/>
  <c r="I136"/>
  <c r="I345"/>
  <c r="E152"/>
  <c r="F152" s="1"/>
  <c r="F153"/>
  <c r="G604"/>
  <c r="H605"/>
  <c r="AS15" i="83"/>
  <c r="AY15" s="1"/>
  <c r="G15" i="84"/>
  <c r="J184"/>
  <c r="F184"/>
  <c r="F360"/>
  <c r="F274"/>
  <c r="E135"/>
  <c r="F135" s="1"/>
  <c r="F136"/>
  <c r="H9"/>
  <c r="G8"/>
  <c r="I9"/>
  <c r="J9" s="1"/>
  <c r="E344"/>
  <c r="F344" s="1"/>
  <c r="F345"/>
  <c r="F189"/>
  <c r="F108"/>
  <c r="E211"/>
  <c r="F211" s="1"/>
  <c r="F212"/>
  <c r="AR656" i="83"/>
  <c r="AS510"/>
  <c r="AY510" s="1"/>
  <c r="AZ247"/>
  <c r="AX303"/>
  <c r="AZ259"/>
  <c r="AZ190"/>
  <c r="AR190"/>
  <c r="AX368"/>
  <c r="AX106"/>
  <c r="AL107"/>
  <c r="AW108"/>
  <c r="AX247"/>
  <c r="AR366"/>
  <c r="AM33"/>
  <c r="Y33"/>
  <c r="F322" i="84"/>
  <c r="F99"/>
  <c r="S51" i="83"/>
  <c r="V51" s="1"/>
  <c r="R51"/>
  <c r="H153" i="84"/>
  <c r="E86"/>
  <c r="F86" s="1"/>
  <c r="F87"/>
  <c r="J618"/>
  <c r="F618"/>
  <c r="F66"/>
  <c r="F298"/>
  <c r="F605"/>
  <c r="E604"/>
  <c r="F604" s="1"/>
  <c r="F75"/>
  <c r="F162"/>
  <c r="AV76" i="83"/>
  <c r="AQ76"/>
  <c r="F231" i="84"/>
  <c r="E118"/>
  <c r="F118" s="1"/>
  <c r="F119"/>
  <c r="F43"/>
  <c r="AW425" i="83"/>
  <c r="AX413"/>
  <c r="AR131"/>
  <c r="AL15"/>
  <c r="AE33"/>
  <c r="AX338"/>
  <c r="E643" i="84"/>
  <c r="F643" s="1"/>
  <c r="Q636" i="83"/>
  <c r="Q548"/>
  <c r="R548" s="1"/>
  <c r="F515" i="84"/>
  <c r="AO677" i="83"/>
  <c r="H431" i="84"/>
  <c r="AS221" i="83"/>
  <c r="AY221" s="1"/>
  <c r="H184" i="84"/>
  <c r="F251"/>
  <c r="AS168" i="83"/>
  <c r="AY168" s="1"/>
  <c r="H618" i="84"/>
  <c r="G135"/>
  <c r="H136"/>
  <c r="J449"/>
  <c r="F449"/>
  <c r="E34"/>
  <c r="F34" s="1"/>
  <c r="F52"/>
  <c r="F431"/>
  <c r="F35"/>
  <c r="F113"/>
  <c r="F396"/>
  <c r="E490"/>
  <c r="F490" s="1"/>
  <c r="F491"/>
  <c r="AR301" i="83"/>
  <c r="AW428"/>
  <c r="S114"/>
  <c r="V114" s="1"/>
  <c r="AW277"/>
  <c r="S270"/>
  <c r="AS259"/>
  <c r="AY259" s="1"/>
  <c r="W87"/>
  <c r="W33" s="1"/>
  <c r="AX180"/>
  <c r="AR510"/>
  <c r="F658" i="84"/>
  <c r="AZ27" i="83"/>
  <c r="U548"/>
  <c r="AU548" s="1"/>
  <c r="S548"/>
  <c r="V548" s="1"/>
  <c r="AZ578"/>
  <c r="AS578"/>
  <c r="AY578" s="1"/>
  <c r="AR578"/>
  <c r="AR587"/>
  <c r="AS589"/>
  <c r="AY589" s="1"/>
  <c r="O677"/>
  <c r="AR589"/>
  <c r="AO33"/>
  <c r="AD548"/>
  <c r="AS673"/>
  <c r="AY673" s="1"/>
  <c r="AJ33"/>
  <c r="AC635"/>
  <c r="AS656"/>
  <c r="AY656" s="1"/>
  <c r="P33"/>
  <c r="AP677"/>
  <c r="Y677"/>
  <c r="AX670"/>
  <c r="AS591"/>
  <c r="AR591"/>
  <c r="AS581"/>
  <c r="AY581" s="1"/>
  <c r="AR581"/>
  <c r="AW578"/>
  <c r="S578"/>
  <c r="V578" s="1"/>
  <c r="AS556"/>
  <c r="AY556" s="1"/>
  <c r="AR556"/>
  <c r="AS553"/>
  <c r="AY553" s="1"/>
  <c r="AR553"/>
  <c r="AS559"/>
  <c r="AY559" s="1"/>
  <c r="AR559"/>
  <c r="AX515"/>
  <c r="AZ520"/>
  <c r="AR520"/>
  <c r="AW504"/>
  <c r="AZ479"/>
  <c r="AR479"/>
  <c r="Q443"/>
  <c r="AP33"/>
  <c r="P677"/>
  <c r="AX472"/>
  <c r="AW444"/>
  <c r="AM677"/>
  <c r="AS402"/>
  <c r="AY402" s="1"/>
  <c r="AR402"/>
  <c r="AS405"/>
  <c r="AY405" s="1"/>
  <c r="AR405"/>
  <c r="AS408"/>
  <c r="AY408" s="1"/>
  <c r="AR408"/>
  <c r="AX394"/>
  <c r="AF677"/>
  <c r="AJ677"/>
  <c r="AJ678" s="1"/>
  <c r="AX323"/>
  <c r="AX294"/>
  <c r="AZ267"/>
  <c r="AR267"/>
  <c r="AW221"/>
  <c r="AR225"/>
  <c r="AF33"/>
  <c r="AX229"/>
  <c r="AZ244"/>
  <c r="AS244"/>
  <c r="AY244" s="1"/>
  <c r="AW244"/>
  <c r="AS225"/>
  <c r="BA225" s="1"/>
  <c r="AX234"/>
  <c r="AZ237"/>
  <c r="AR237"/>
  <c r="AS209"/>
  <c r="AY209" s="1"/>
  <c r="AR209"/>
  <c r="AR186"/>
  <c r="AI33"/>
  <c r="AZ186"/>
  <c r="AR158"/>
  <c r="AW155"/>
  <c r="L677"/>
  <c r="AX167"/>
  <c r="AS158"/>
  <c r="AY158" s="1"/>
  <c r="AZ148"/>
  <c r="AS148"/>
  <c r="AY148" s="1"/>
  <c r="AX142"/>
  <c r="AI677"/>
  <c r="AE677"/>
  <c r="O33"/>
  <c r="AX109"/>
  <c r="S88"/>
  <c r="V88" s="1"/>
  <c r="S87"/>
  <c r="V87" s="1"/>
  <c r="AZ16"/>
  <c r="AO15"/>
  <c r="AP15" s="1"/>
  <c r="AR15"/>
  <c r="AS10"/>
  <c r="AY10" s="1"/>
  <c r="AR10"/>
  <c r="AH33"/>
  <c r="AH677"/>
  <c r="AL35"/>
  <c r="AQ35"/>
  <c r="G35" i="84" s="1"/>
  <c r="I35" s="1"/>
  <c r="AV35" i="83"/>
  <c r="AW35" s="1"/>
  <c r="W677"/>
  <c r="AZ634"/>
  <c r="AR634"/>
  <c r="AS634"/>
  <c r="AY634" s="1"/>
  <c r="AZ610"/>
  <c r="AR610"/>
  <c r="AS610"/>
  <c r="AY610" s="1"/>
  <c r="AZ662"/>
  <c r="AR662"/>
  <c r="AS662"/>
  <c r="AY662" s="1"/>
  <c r="U635"/>
  <c r="AU635" s="1"/>
  <c r="AZ619"/>
  <c r="AR619"/>
  <c r="AS619"/>
  <c r="AY619" s="1"/>
  <c r="AZ601"/>
  <c r="AR601"/>
  <c r="AS601"/>
  <c r="AY601" s="1"/>
  <c r="AZ592"/>
  <c r="AR592"/>
  <c r="AS592"/>
  <c r="AY592" s="1"/>
  <c r="AZ574"/>
  <c r="AR574"/>
  <c r="AS574"/>
  <c r="AY574" s="1"/>
  <c r="AS575"/>
  <c r="AY575" s="1"/>
  <c r="AZ575"/>
  <c r="AR575"/>
  <c r="AZ544"/>
  <c r="AR544"/>
  <c r="AS544"/>
  <c r="AY544" s="1"/>
  <c r="AZ535"/>
  <c r="AR535"/>
  <c r="AS535"/>
  <c r="AY535" s="1"/>
  <c r="AZ495"/>
  <c r="AR495"/>
  <c r="AS495"/>
  <c r="AY495" s="1"/>
  <c r="AZ465"/>
  <c r="AR465"/>
  <c r="AS465"/>
  <c r="AY465" s="1"/>
  <c r="AW558"/>
  <c r="AX558"/>
  <c r="AZ670"/>
  <c r="AR670"/>
  <c r="AS670"/>
  <c r="AY670" s="1"/>
  <c r="AS545"/>
  <c r="AY545" s="1"/>
  <c r="AZ545"/>
  <c r="AR545"/>
  <c r="AS527"/>
  <c r="AY527" s="1"/>
  <c r="AZ527"/>
  <c r="AR527"/>
  <c r="AR497"/>
  <c r="AS497"/>
  <c r="AY497" s="1"/>
  <c r="AZ497"/>
  <c r="AR462"/>
  <c r="AS462"/>
  <c r="AY462" s="1"/>
  <c r="AZ462"/>
  <c r="AS429"/>
  <c r="AY429" s="1"/>
  <c r="AZ429"/>
  <c r="AR429"/>
  <c r="AZ552"/>
  <c r="AR552"/>
  <c r="AS552"/>
  <c r="AZ347"/>
  <c r="AR347"/>
  <c r="AS347"/>
  <c r="AZ328"/>
  <c r="AR328"/>
  <c r="AS328"/>
  <c r="AY328" s="1"/>
  <c r="AZ312"/>
  <c r="AR312"/>
  <c r="AS312"/>
  <c r="AY312" s="1"/>
  <c r="AZ297"/>
  <c r="AR297"/>
  <c r="AS297"/>
  <c r="AY297" s="1"/>
  <c r="AZ289"/>
  <c r="AR289"/>
  <c r="AS289"/>
  <c r="AY289" s="1"/>
  <c r="AZ242"/>
  <c r="AS242"/>
  <c r="AY242" s="1"/>
  <c r="AR242"/>
  <c r="AS410"/>
  <c r="AZ410"/>
  <c r="AR410"/>
  <c r="AS404"/>
  <c r="AY404" s="1"/>
  <c r="AZ404"/>
  <c r="AR404"/>
  <c r="BB393"/>
  <c r="AY393"/>
  <c r="AS342"/>
  <c r="AY342" s="1"/>
  <c r="AZ342"/>
  <c r="AR342"/>
  <c r="S444"/>
  <c r="V444" s="1"/>
  <c r="R444"/>
  <c r="AR360"/>
  <c r="AS360"/>
  <c r="AY360" s="1"/>
  <c r="AZ360"/>
  <c r="AR340"/>
  <c r="AS340"/>
  <c r="AY340" s="1"/>
  <c r="AZ340"/>
  <c r="AS274"/>
  <c r="AY274" s="1"/>
  <c r="AZ274"/>
  <c r="AR274"/>
  <c r="AY504"/>
  <c r="BA504"/>
  <c r="AQ417"/>
  <c r="G491" i="84" s="1"/>
  <c r="I491" s="1"/>
  <c r="AK416" i="83"/>
  <c r="AV417"/>
  <c r="AW417" s="1"/>
  <c r="AL417"/>
  <c r="AZ228"/>
  <c r="AR228"/>
  <c r="AS228"/>
  <c r="AY228" s="1"/>
  <c r="AZ173"/>
  <c r="AR173"/>
  <c r="AS173"/>
  <c r="AY173" s="1"/>
  <c r="AR269"/>
  <c r="AZ269"/>
  <c r="AS269"/>
  <c r="AY269" s="1"/>
  <c r="AZ216"/>
  <c r="AR216"/>
  <c r="AS216"/>
  <c r="AY216" s="1"/>
  <c r="AZ171"/>
  <c r="AR171"/>
  <c r="AS171"/>
  <c r="AY171" s="1"/>
  <c r="AZ161"/>
  <c r="AR161"/>
  <c r="AS161"/>
  <c r="AY161" s="1"/>
  <c r="U154"/>
  <c r="AU154" s="1"/>
  <c r="AZ140"/>
  <c r="AR140"/>
  <c r="AS140"/>
  <c r="AY140" s="1"/>
  <c r="AZ62"/>
  <c r="AS62"/>
  <c r="AY62" s="1"/>
  <c r="AR62"/>
  <c r="AS177"/>
  <c r="AY177" s="1"/>
  <c r="AZ177"/>
  <c r="AR177"/>
  <c r="V136"/>
  <c r="AD136"/>
  <c r="U136"/>
  <c r="AU136" s="1"/>
  <c r="AY351"/>
  <c r="BA351"/>
  <c r="AZ284"/>
  <c r="AR284"/>
  <c r="AS284"/>
  <c r="AY284" s="1"/>
  <c r="AR198"/>
  <c r="AS198"/>
  <c r="AY198" s="1"/>
  <c r="AZ198"/>
  <c r="AR181"/>
  <c r="AS181"/>
  <c r="AY181" s="1"/>
  <c r="AZ181"/>
  <c r="AL291"/>
  <c r="AQ291"/>
  <c r="G212" i="84" s="1"/>
  <c r="I212" s="1"/>
  <c r="AK290" i="83"/>
  <c r="AV291"/>
  <c r="AZ41"/>
  <c r="AR41"/>
  <c r="AS41"/>
  <c r="AY41" s="1"/>
  <c r="AS105"/>
  <c r="AY105" s="1"/>
  <c r="AZ105"/>
  <c r="AR105"/>
  <c r="AR101"/>
  <c r="AS101"/>
  <c r="AY101" s="1"/>
  <c r="AZ101"/>
  <c r="AK53"/>
  <c r="AV56"/>
  <c r="AQ56"/>
  <c r="AL56"/>
  <c r="AW82"/>
  <c r="AX82"/>
  <c r="AR97"/>
  <c r="AS97"/>
  <c r="AY97" s="1"/>
  <c r="AZ97"/>
  <c r="AS94"/>
  <c r="AY94" s="1"/>
  <c r="AZ94"/>
  <c r="AR94"/>
  <c r="BB86"/>
  <c r="AY86"/>
  <c r="AW80"/>
  <c r="AX80"/>
  <c r="AR74"/>
  <c r="AS74"/>
  <c r="AY74" s="1"/>
  <c r="AZ74"/>
  <c r="AR51"/>
  <c r="AS51"/>
  <c r="AY51" s="1"/>
  <c r="AZ51"/>
  <c r="AB677"/>
  <c r="AC34"/>
  <c r="AB33"/>
  <c r="AY225"/>
  <c r="AX578"/>
  <c r="AX604"/>
  <c r="AX649"/>
  <c r="AX606"/>
  <c r="AX566"/>
  <c r="AX512"/>
  <c r="AX529"/>
  <c r="AX545"/>
  <c r="AX370"/>
  <c r="AX407"/>
  <c r="AX383"/>
  <c r="AX404"/>
  <c r="AX326"/>
  <c r="AX225"/>
  <c r="AW168"/>
  <c r="AX96"/>
  <c r="AX150"/>
  <c r="AX218"/>
  <c r="AX198"/>
  <c r="AX126"/>
  <c r="AX113"/>
  <c r="L33"/>
  <c r="AD87"/>
  <c r="R87"/>
  <c r="AZ641"/>
  <c r="AR641"/>
  <c r="AS641"/>
  <c r="AY641" s="1"/>
  <c r="AZ616"/>
  <c r="AR616"/>
  <c r="AS616"/>
  <c r="AY616" s="1"/>
  <c r="AZ625"/>
  <c r="AR625"/>
  <c r="AS625"/>
  <c r="AZ611"/>
  <c r="AR611"/>
  <c r="AS611"/>
  <c r="AY611" s="1"/>
  <c r="AZ595"/>
  <c r="AR595"/>
  <c r="AS595"/>
  <c r="AZ577"/>
  <c r="AR577"/>
  <c r="AS577"/>
  <c r="AY577" s="1"/>
  <c r="AZ560"/>
  <c r="AR560"/>
  <c r="AS560"/>
  <c r="AS672"/>
  <c r="AZ672"/>
  <c r="AR672"/>
  <c r="AS643"/>
  <c r="AY643" s="1"/>
  <c r="AZ643"/>
  <c r="AR643"/>
  <c r="AS606"/>
  <c r="AY606" s="1"/>
  <c r="AZ606"/>
  <c r="AR606"/>
  <c r="AS602"/>
  <c r="AZ602"/>
  <c r="AR602"/>
  <c r="AS593"/>
  <c r="AY593" s="1"/>
  <c r="AZ593"/>
  <c r="AR593"/>
  <c r="AS570"/>
  <c r="AY570" s="1"/>
  <c r="AZ570"/>
  <c r="AR570"/>
  <c r="AS566"/>
  <c r="AZ566"/>
  <c r="AR566"/>
  <c r="AS561"/>
  <c r="AY561" s="1"/>
  <c r="AZ561"/>
  <c r="AR561"/>
  <c r="AR652"/>
  <c r="AS652"/>
  <c r="AY652" s="1"/>
  <c r="AZ652"/>
  <c r="AR631"/>
  <c r="AS631"/>
  <c r="AY631" s="1"/>
  <c r="AZ631"/>
  <c r="AZ537"/>
  <c r="AR537"/>
  <c r="AS537"/>
  <c r="AY537" s="1"/>
  <c r="AZ507"/>
  <c r="AR507"/>
  <c r="AS507"/>
  <c r="AY507" s="1"/>
  <c r="AZ476"/>
  <c r="AR476"/>
  <c r="AS476"/>
  <c r="AY476" s="1"/>
  <c r="AZ558"/>
  <c r="AR558"/>
  <c r="AS558"/>
  <c r="AY558" s="1"/>
  <c r="AZ493"/>
  <c r="AR493"/>
  <c r="AS493"/>
  <c r="AY493" s="1"/>
  <c r="AZ436"/>
  <c r="AS436"/>
  <c r="AY436" s="1"/>
  <c r="AR436"/>
  <c r="AS503"/>
  <c r="AY503" s="1"/>
  <c r="AZ503"/>
  <c r="AR503"/>
  <c r="AS485"/>
  <c r="AY485" s="1"/>
  <c r="AZ485"/>
  <c r="AR485"/>
  <c r="AR525"/>
  <c r="AS525"/>
  <c r="AY525" s="1"/>
  <c r="AZ525"/>
  <c r="AR513"/>
  <c r="AS513"/>
  <c r="AY513" s="1"/>
  <c r="AZ513"/>
  <c r="AL487"/>
  <c r="AQ487"/>
  <c r="G396" i="84" s="1"/>
  <c r="H396" s="1"/>
  <c r="AV487" i="83"/>
  <c r="AS432"/>
  <c r="AY432" s="1"/>
  <c r="AZ432"/>
  <c r="AR432"/>
  <c r="AL549"/>
  <c r="AV549"/>
  <c r="AW549" s="1"/>
  <c r="AQ549"/>
  <c r="H515" i="84" s="1"/>
  <c r="AK548" i="83"/>
  <c r="AZ371"/>
  <c r="AR371"/>
  <c r="AS371"/>
  <c r="AY371" s="1"/>
  <c r="AZ317"/>
  <c r="AR317"/>
  <c r="AS317"/>
  <c r="AY317" s="1"/>
  <c r="AZ245"/>
  <c r="AS245"/>
  <c r="AY245" s="1"/>
  <c r="AR245"/>
  <c r="AS386"/>
  <c r="AY386" s="1"/>
  <c r="AZ386"/>
  <c r="AR386"/>
  <c r="AS380"/>
  <c r="AY380" s="1"/>
  <c r="AZ380"/>
  <c r="AR380"/>
  <c r="S351"/>
  <c r="V351" s="1"/>
  <c r="U351"/>
  <c r="AU351" s="1"/>
  <c r="AQ329"/>
  <c r="G251" i="84" s="1"/>
  <c r="H251" s="1"/>
  <c r="AV329" i="83"/>
  <c r="AL329"/>
  <c r="AS321"/>
  <c r="AY321" s="1"/>
  <c r="AZ321"/>
  <c r="AR321"/>
  <c r="AS315"/>
  <c r="AY315" s="1"/>
  <c r="AZ315"/>
  <c r="AR315"/>
  <c r="AR343"/>
  <c r="AS343"/>
  <c r="AY343" s="1"/>
  <c r="AZ343"/>
  <c r="AR306"/>
  <c r="AS306"/>
  <c r="AZ306"/>
  <c r="AS279"/>
  <c r="AY279" s="1"/>
  <c r="AZ279"/>
  <c r="AR279"/>
  <c r="AS255"/>
  <c r="AY255" s="1"/>
  <c r="AZ255"/>
  <c r="AR255"/>
  <c r="BA529"/>
  <c r="AY529"/>
  <c r="AY473"/>
  <c r="BA473"/>
  <c r="AZ236"/>
  <c r="AR236"/>
  <c r="AS236"/>
  <c r="AY236" s="1"/>
  <c r="AZ176"/>
  <c r="AR176"/>
  <c r="AS176"/>
  <c r="AY176" s="1"/>
  <c r="AZ220"/>
  <c r="AR220"/>
  <c r="AS220"/>
  <c r="AY220" s="1"/>
  <c r="AV200"/>
  <c r="AL200"/>
  <c r="AQ200"/>
  <c r="G162" i="84" s="1"/>
  <c r="H162" s="1"/>
  <c r="AZ179" i="83"/>
  <c r="AR179"/>
  <c r="AS179"/>
  <c r="AY179" s="1"/>
  <c r="AZ164"/>
  <c r="AR164"/>
  <c r="AS164"/>
  <c r="AY164" s="1"/>
  <c r="AZ135"/>
  <c r="AR135"/>
  <c r="AS135"/>
  <c r="AY135" s="1"/>
  <c r="Q123"/>
  <c r="N122"/>
  <c r="Q122" s="1"/>
  <c r="R122" s="1"/>
  <c r="AZ66"/>
  <c r="AS66"/>
  <c r="AY66" s="1"/>
  <c r="AR66"/>
  <c r="AL395"/>
  <c r="AQ395"/>
  <c r="H322" i="84" s="1"/>
  <c r="AV395" i="83"/>
  <c r="AZ287"/>
  <c r="AR287"/>
  <c r="AS287"/>
  <c r="AY287" s="1"/>
  <c r="AS159"/>
  <c r="AY159" s="1"/>
  <c r="AZ159"/>
  <c r="AR159"/>
  <c r="AS150"/>
  <c r="AY150" s="1"/>
  <c r="AZ150"/>
  <c r="AR150"/>
  <c r="AS145"/>
  <c r="AY145" s="1"/>
  <c r="AZ145"/>
  <c r="AR145"/>
  <c r="AS113"/>
  <c r="AY113" s="1"/>
  <c r="AZ113"/>
  <c r="AR113"/>
  <c r="AS96"/>
  <c r="AY96" s="1"/>
  <c r="AZ96"/>
  <c r="AR96"/>
  <c r="AZ377"/>
  <c r="AR377"/>
  <c r="AS377"/>
  <c r="AY377" s="1"/>
  <c r="AV271"/>
  <c r="AL271"/>
  <c r="AQ271"/>
  <c r="G469" i="84" s="1"/>
  <c r="I469" s="1"/>
  <c r="AK270" i="83"/>
  <c r="S154"/>
  <c r="V154" s="1"/>
  <c r="R154"/>
  <c r="AZ308"/>
  <c r="AR308"/>
  <c r="AS308"/>
  <c r="AY308" s="1"/>
  <c r="AZ44"/>
  <c r="AR44"/>
  <c r="AS44"/>
  <c r="AY44" s="1"/>
  <c r="AS64"/>
  <c r="AY64" s="1"/>
  <c r="AZ64"/>
  <c r="AR64"/>
  <c r="AG677"/>
  <c r="AG33"/>
  <c r="AG31" s="1"/>
  <c r="AW74"/>
  <c r="AX74"/>
  <c r="AZ38"/>
  <c r="AR38"/>
  <c r="AS38"/>
  <c r="AY38" s="1"/>
  <c r="AZ218"/>
  <c r="AR218"/>
  <c r="AS218"/>
  <c r="AQ114"/>
  <c r="G108" i="84" s="1"/>
  <c r="H108" s="1"/>
  <c r="AV114" i="83"/>
  <c r="AL114"/>
  <c r="AQ69"/>
  <c r="G66" i="84" s="1"/>
  <c r="H66" s="1"/>
  <c r="AV69" i="83"/>
  <c r="AW69" s="1"/>
  <c r="AL69"/>
  <c r="AR82"/>
  <c r="AS82"/>
  <c r="AY82" s="1"/>
  <c r="AZ82"/>
  <c r="AR42"/>
  <c r="AS42"/>
  <c r="AY42" s="1"/>
  <c r="AZ42"/>
  <c r="N677"/>
  <c r="Q34"/>
  <c r="N33"/>
  <c r="AZ50"/>
  <c r="AS50"/>
  <c r="AY50" s="1"/>
  <c r="AR50"/>
  <c r="AD635"/>
  <c r="AX620"/>
  <c r="AX570"/>
  <c r="AX575"/>
  <c r="AX568"/>
  <c r="AX504"/>
  <c r="AX473"/>
  <c r="AX527"/>
  <c r="AX499"/>
  <c r="AX552"/>
  <c r="AX444"/>
  <c r="AX547"/>
  <c r="AD443"/>
  <c r="AD351"/>
  <c r="AX386"/>
  <c r="AW365"/>
  <c r="AX315"/>
  <c r="AA677"/>
  <c r="AX410"/>
  <c r="AW362"/>
  <c r="AX155"/>
  <c r="AX177"/>
  <c r="AX152"/>
  <c r="AX137"/>
  <c r="AX239"/>
  <c r="U87"/>
  <c r="AU87" s="1"/>
  <c r="AX42"/>
  <c r="AZ644"/>
  <c r="AR644"/>
  <c r="AS644"/>
  <c r="AY644" s="1"/>
  <c r="AZ629"/>
  <c r="AR629"/>
  <c r="AS629"/>
  <c r="AY629" s="1"/>
  <c r="AZ582"/>
  <c r="AR582"/>
  <c r="AS582"/>
  <c r="AY582" s="1"/>
  <c r="AZ650"/>
  <c r="AR650"/>
  <c r="AS650"/>
  <c r="AY650" s="1"/>
  <c r="AZ627"/>
  <c r="AR627"/>
  <c r="AS627"/>
  <c r="AY627" s="1"/>
  <c r="AZ614"/>
  <c r="AR614"/>
  <c r="AS614"/>
  <c r="AY614" s="1"/>
  <c r="AZ597"/>
  <c r="AR597"/>
  <c r="AS597"/>
  <c r="AY597" s="1"/>
  <c r="AZ588"/>
  <c r="AR588"/>
  <c r="AS588"/>
  <c r="AZ563"/>
  <c r="AR563"/>
  <c r="AS563"/>
  <c r="AY563" s="1"/>
  <c r="AX672"/>
  <c r="AW672"/>
  <c r="AR665"/>
  <c r="AS665"/>
  <c r="AY665" s="1"/>
  <c r="AZ665"/>
  <c r="AR658"/>
  <c r="AS658"/>
  <c r="AY658" s="1"/>
  <c r="AZ658"/>
  <c r="AR621"/>
  <c r="AS621"/>
  <c r="AY621" s="1"/>
  <c r="AZ621"/>
  <c r="AZ540"/>
  <c r="AR540"/>
  <c r="AS540"/>
  <c r="AY540" s="1"/>
  <c r="AZ519"/>
  <c r="AR519"/>
  <c r="AS519"/>
  <c r="AY519" s="1"/>
  <c r="AZ481"/>
  <c r="AR481"/>
  <c r="AS481"/>
  <c r="AY481" s="1"/>
  <c r="AR649"/>
  <c r="AS649"/>
  <c r="AY649" s="1"/>
  <c r="AZ649"/>
  <c r="AZ501"/>
  <c r="AR501"/>
  <c r="AS501"/>
  <c r="AY501" s="1"/>
  <c r="AZ439"/>
  <c r="AS439"/>
  <c r="AY439" s="1"/>
  <c r="AR439"/>
  <c r="AL653"/>
  <c r="AQ653"/>
  <c r="AV653"/>
  <c r="AS547"/>
  <c r="AY547" s="1"/>
  <c r="AZ547"/>
  <c r="AR547"/>
  <c r="AS521"/>
  <c r="AY521" s="1"/>
  <c r="AZ521"/>
  <c r="AR521"/>
  <c r="AR528"/>
  <c r="AS528"/>
  <c r="AY528" s="1"/>
  <c r="AZ528"/>
  <c r="AR483"/>
  <c r="AS483"/>
  <c r="AY483" s="1"/>
  <c r="AZ483"/>
  <c r="AR467"/>
  <c r="AS467"/>
  <c r="AY467" s="1"/>
  <c r="AZ467"/>
  <c r="AL457"/>
  <c r="AQ457"/>
  <c r="G360" i="84" s="1"/>
  <c r="I360" s="1"/>
  <c r="AV457" i="83"/>
  <c r="AW457" s="1"/>
  <c r="AS423"/>
  <c r="AY423" s="1"/>
  <c r="AZ423"/>
  <c r="AR423"/>
  <c r="AZ444"/>
  <c r="AS444"/>
  <c r="AZ398"/>
  <c r="AR398"/>
  <c r="AS398"/>
  <c r="AY398" s="1"/>
  <c r="AZ382"/>
  <c r="AR382"/>
  <c r="AS382"/>
  <c r="AY382" s="1"/>
  <c r="AZ354"/>
  <c r="AR354"/>
  <c r="AS354"/>
  <c r="AY354" s="1"/>
  <c r="AZ336"/>
  <c r="AR336"/>
  <c r="AS336"/>
  <c r="AY336" s="1"/>
  <c r="AZ320"/>
  <c r="AR320"/>
  <c r="AS320"/>
  <c r="AY320" s="1"/>
  <c r="AC290"/>
  <c r="AZ264"/>
  <c r="AS264"/>
  <c r="AY264" s="1"/>
  <c r="AR264"/>
  <c r="AS412"/>
  <c r="AY412" s="1"/>
  <c r="AZ412"/>
  <c r="AR412"/>
  <c r="AS407"/>
  <c r="AY407" s="1"/>
  <c r="AZ407"/>
  <c r="AR407"/>
  <c r="AS399"/>
  <c r="AY399" s="1"/>
  <c r="AZ399"/>
  <c r="AR399"/>
  <c r="AS373"/>
  <c r="AY373" s="1"/>
  <c r="AZ373"/>
  <c r="AR373"/>
  <c r="AS370"/>
  <c r="AY370" s="1"/>
  <c r="AZ370"/>
  <c r="AR370"/>
  <c r="AS345"/>
  <c r="AY345" s="1"/>
  <c r="AZ345"/>
  <c r="AR345"/>
  <c r="U443"/>
  <c r="AU443" s="1"/>
  <c r="AS260"/>
  <c r="AY260" s="1"/>
  <c r="AZ260"/>
  <c r="AR260"/>
  <c r="U270"/>
  <c r="AU270" s="1"/>
  <c r="V270"/>
  <c r="AZ191"/>
  <c r="AR191"/>
  <c r="AS191"/>
  <c r="AY191" s="1"/>
  <c r="AZ188"/>
  <c r="AR188"/>
  <c r="AS188"/>
  <c r="AY188" s="1"/>
  <c r="AL154"/>
  <c r="AV154"/>
  <c r="AQ154"/>
  <c r="R126"/>
  <c r="S126"/>
  <c r="V126" s="1"/>
  <c r="AV110"/>
  <c r="AL110"/>
  <c r="AQ110"/>
  <c r="AZ91"/>
  <c r="AR91"/>
  <c r="AS91"/>
  <c r="AY91" s="1"/>
  <c r="AS166"/>
  <c r="AY166" s="1"/>
  <c r="AZ166"/>
  <c r="AR166"/>
  <c r="AS137"/>
  <c r="AY137" s="1"/>
  <c r="AZ137"/>
  <c r="AR137"/>
  <c r="AL374"/>
  <c r="AQ374"/>
  <c r="G298" i="84" s="1"/>
  <c r="H298" s="1"/>
  <c r="AV374" i="83"/>
  <c r="AW374" s="1"/>
  <c r="AW269"/>
  <c r="AX269"/>
  <c r="AR184"/>
  <c r="AS184"/>
  <c r="AY184" s="1"/>
  <c r="AZ184"/>
  <c r="AD154"/>
  <c r="AA33"/>
  <c r="AC122"/>
  <c r="AU114"/>
  <c r="AX114" s="1"/>
  <c r="AT110"/>
  <c r="AR389"/>
  <c r="AS389"/>
  <c r="AY389" s="1"/>
  <c r="AZ389"/>
  <c r="AZ303"/>
  <c r="AR303"/>
  <c r="AS303"/>
  <c r="AY303" s="1"/>
  <c r="AR121"/>
  <c r="AS121"/>
  <c r="AY121" s="1"/>
  <c r="AZ121"/>
  <c r="AL102"/>
  <c r="AQ102"/>
  <c r="G99" i="84" s="1"/>
  <c r="H99" s="1"/>
  <c r="AV102" i="83"/>
  <c r="AV49"/>
  <c r="AL49"/>
  <c r="AQ49"/>
  <c r="AY193"/>
  <c r="BA193"/>
  <c r="AZ133"/>
  <c r="AR133"/>
  <c r="AS133"/>
  <c r="AY133" s="1"/>
  <c r="AS126"/>
  <c r="AY126" s="1"/>
  <c r="AZ126"/>
  <c r="AR126"/>
  <c r="AL88"/>
  <c r="AK87"/>
  <c r="AQ88"/>
  <c r="G87" i="84" s="1"/>
  <c r="AV88" i="83"/>
  <c r="AL84"/>
  <c r="AQ84"/>
  <c r="AV84"/>
  <c r="AR52"/>
  <c r="AZ52"/>
  <c r="AS52"/>
  <c r="AY52" s="1"/>
  <c r="AX643"/>
  <c r="AX561"/>
  <c r="AX469"/>
  <c r="AX485"/>
  <c r="AX417"/>
  <c r="AX318"/>
  <c r="AX299"/>
  <c r="AX412"/>
  <c r="AX377"/>
  <c r="AX193"/>
  <c r="AX287"/>
  <c r="AX159"/>
  <c r="T677"/>
  <c r="AX145"/>
  <c r="AX121"/>
  <c r="AX99"/>
  <c r="AX64"/>
  <c r="AX133"/>
  <c r="AX105"/>
  <c r="T33"/>
  <c r="AX61"/>
  <c r="AX52"/>
  <c r="AZ647"/>
  <c r="AR647"/>
  <c r="AS647"/>
  <c r="AY647" s="1"/>
  <c r="AZ632"/>
  <c r="AR632"/>
  <c r="AS632"/>
  <c r="AZ617"/>
  <c r="AR617"/>
  <c r="AS617"/>
  <c r="AZ599"/>
  <c r="AR599"/>
  <c r="AS599"/>
  <c r="AY599" s="1"/>
  <c r="AZ572"/>
  <c r="AR572"/>
  <c r="AS572"/>
  <c r="AY572" s="1"/>
  <c r="AS645"/>
  <c r="AY645" s="1"/>
  <c r="AZ645"/>
  <c r="AR645"/>
  <c r="AS638"/>
  <c r="AY638" s="1"/>
  <c r="AZ638"/>
  <c r="AR638"/>
  <c r="AS620"/>
  <c r="AY620" s="1"/>
  <c r="AZ620"/>
  <c r="AR620"/>
  <c r="AS604"/>
  <c r="AY604" s="1"/>
  <c r="AZ604"/>
  <c r="AR604"/>
  <c r="AS568"/>
  <c r="AY568" s="1"/>
  <c r="AZ568"/>
  <c r="AR568"/>
  <c r="AS564"/>
  <c r="AY564" s="1"/>
  <c r="AZ564"/>
  <c r="AR564"/>
  <c r="AR667"/>
  <c r="AS667"/>
  <c r="AY667" s="1"/>
  <c r="AZ667"/>
  <c r="AL607"/>
  <c r="AQ607"/>
  <c r="G545" i="84" s="1"/>
  <c r="H545" s="1"/>
  <c r="AV607" i="83"/>
  <c r="AW607" s="1"/>
  <c r="AZ542"/>
  <c r="AR542"/>
  <c r="AS542"/>
  <c r="AY542" s="1"/>
  <c r="AZ523"/>
  <c r="AR523"/>
  <c r="AS523"/>
  <c r="AY523" s="1"/>
  <c r="AZ490"/>
  <c r="AR490"/>
  <c r="AS490"/>
  <c r="AY490" s="1"/>
  <c r="AZ460"/>
  <c r="AR460"/>
  <c r="AS460"/>
  <c r="AY460" s="1"/>
  <c r="AL636"/>
  <c r="AK635"/>
  <c r="AQ636"/>
  <c r="G658" i="84" s="1"/>
  <c r="I658" s="1"/>
  <c r="AV636" i="83"/>
  <c r="AZ471"/>
  <c r="AR471"/>
  <c r="AS471"/>
  <c r="AY471" s="1"/>
  <c r="AS512"/>
  <c r="AY512" s="1"/>
  <c r="AZ512"/>
  <c r="AR512"/>
  <c r="AS499"/>
  <c r="AY499" s="1"/>
  <c r="AZ499"/>
  <c r="AR499"/>
  <c r="AR522"/>
  <c r="AS522"/>
  <c r="AY522" s="1"/>
  <c r="AZ522"/>
  <c r="AR486"/>
  <c r="AS486"/>
  <c r="AY486" s="1"/>
  <c r="AZ486"/>
  <c r="AS426"/>
  <c r="AY426" s="1"/>
  <c r="AZ426"/>
  <c r="AR426"/>
  <c r="AZ415"/>
  <c r="AR415"/>
  <c r="AS415"/>
  <c r="AY415" s="1"/>
  <c r="AZ385"/>
  <c r="AR385"/>
  <c r="AS385"/>
  <c r="AY385" s="1"/>
  <c r="AZ325"/>
  <c r="AR325"/>
  <c r="AS325"/>
  <c r="AY325" s="1"/>
  <c r="AV309"/>
  <c r="AL309"/>
  <c r="AQ309"/>
  <c r="G231" i="84" s="1"/>
  <c r="H231" s="1"/>
  <c r="AZ286" i="83"/>
  <c r="AR286"/>
  <c r="AS286"/>
  <c r="AY286" s="1"/>
  <c r="AS383"/>
  <c r="AY383" s="1"/>
  <c r="AZ383"/>
  <c r="AR383"/>
  <c r="AS326"/>
  <c r="AY326" s="1"/>
  <c r="AZ326"/>
  <c r="AR326"/>
  <c r="AS318"/>
  <c r="AY318" s="1"/>
  <c r="AZ318"/>
  <c r="AR318"/>
  <c r="AS305"/>
  <c r="AY305" s="1"/>
  <c r="AZ305"/>
  <c r="AR305"/>
  <c r="AS299"/>
  <c r="AY299" s="1"/>
  <c r="AZ299"/>
  <c r="AR299"/>
  <c r="R443"/>
  <c r="S443"/>
  <c r="V443" s="1"/>
  <c r="AR358"/>
  <c r="AS358"/>
  <c r="AY358" s="1"/>
  <c r="AZ358"/>
  <c r="AR332"/>
  <c r="AS332"/>
  <c r="AY332" s="1"/>
  <c r="AZ332"/>
  <c r="AZ207"/>
  <c r="AR207"/>
  <c r="AS207"/>
  <c r="AY207" s="1"/>
  <c r="AZ224"/>
  <c r="AR224"/>
  <c r="AS224"/>
  <c r="AZ213"/>
  <c r="AR213"/>
  <c r="AS213"/>
  <c r="AY213" s="1"/>
  <c r="AL136"/>
  <c r="AV136"/>
  <c r="AQ136"/>
  <c r="AZ92"/>
  <c r="AR92"/>
  <c r="AS92"/>
  <c r="AY92" s="1"/>
  <c r="AZ413"/>
  <c r="AR413"/>
  <c r="AS413"/>
  <c r="AY413" s="1"/>
  <c r="AV257"/>
  <c r="AQ257"/>
  <c r="AK248"/>
  <c r="AL257"/>
  <c r="AZ168"/>
  <c r="AR168"/>
  <c r="AX166"/>
  <c r="AW166"/>
  <c r="AS162"/>
  <c r="AY162" s="1"/>
  <c r="AZ162"/>
  <c r="AR162"/>
  <c r="AS155"/>
  <c r="AY155" s="1"/>
  <c r="AZ155"/>
  <c r="AR155"/>
  <c r="AS152"/>
  <c r="AY152" s="1"/>
  <c r="AZ152"/>
  <c r="AR152"/>
  <c r="AS147"/>
  <c r="AY147" s="1"/>
  <c r="AZ147"/>
  <c r="AR147"/>
  <c r="AS99"/>
  <c r="AY99" s="1"/>
  <c r="AZ99"/>
  <c r="AR99"/>
  <c r="AW284"/>
  <c r="AX284"/>
  <c r="AZ239"/>
  <c r="AR239"/>
  <c r="AS239"/>
  <c r="AY239" s="1"/>
  <c r="AR204"/>
  <c r="AS204"/>
  <c r="AY204" s="1"/>
  <c r="AZ204"/>
  <c r="AR196"/>
  <c r="AS196"/>
  <c r="AY196" s="1"/>
  <c r="AZ196"/>
  <c r="AC192"/>
  <c r="R117"/>
  <c r="S117"/>
  <c r="V117" s="1"/>
  <c r="AL118"/>
  <c r="AQ118"/>
  <c r="H113" i="84" s="1"/>
  <c r="AV118" i="83"/>
  <c r="AS107"/>
  <c r="AY107" s="1"/>
  <c r="AZ107"/>
  <c r="AR107"/>
  <c r="AQ77"/>
  <c r="G75" i="84" s="1"/>
  <c r="H75" s="1"/>
  <c r="AV77" i="83"/>
  <c r="AL77"/>
  <c r="AS61"/>
  <c r="AY61" s="1"/>
  <c r="AZ61"/>
  <c r="AR61"/>
  <c r="S34"/>
  <c r="AR117"/>
  <c r="AS117"/>
  <c r="AY117" s="1"/>
  <c r="AZ117"/>
  <c r="AR106"/>
  <c r="AS106"/>
  <c r="AY106" s="1"/>
  <c r="AZ106"/>
  <c r="AV39"/>
  <c r="AQ39"/>
  <c r="AL39"/>
  <c r="AL123"/>
  <c r="AK122"/>
  <c r="AQ123"/>
  <c r="G119" i="84" s="1"/>
  <c r="I119" s="1"/>
  <c r="AV123" i="83"/>
  <c r="AW123" s="1"/>
  <c r="AR109"/>
  <c r="AS109"/>
  <c r="AY109" s="1"/>
  <c r="AZ109"/>
  <c r="AL48"/>
  <c r="AV48"/>
  <c r="AQ48"/>
  <c r="AK45"/>
  <c r="AK34" s="1"/>
  <c r="R39"/>
  <c r="S39"/>
  <c r="V39" s="1"/>
  <c r="AX638"/>
  <c r="AX593"/>
  <c r="AX645"/>
  <c r="AX602"/>
  <c r="S635"/>
  <c r="V635" s="1"/>
  <c r="AX564"/>
  <c r="AX503"/>
  <c r="AK443"/>
  <c r="AX521"/>
  <c r="M290"/>
  <c r="S290" s="1"/>
  <c r="V290" s="1"/>
  <c r="AX373"/>
  <c r="AX399"/>
  <c r="AX380"/>
  <c r="AX345"/>
  <c r="AX321"/>
  <c r="S122"/>
  <c r="V122" s="1"/>
  <c r="AX305"/>
  <c r="AW355"/>
  <c r="AX342"/>
  <c r="AX162"/>
  <c r="AX147"/>
  <c r="U122"/>
  <c r="AU122" s="1"/>
  <c r="AX101"/>
  <c r="AX107"/>
  <c r="AD34"/>
  <c r="I396" i="84" l="1"/>
  <c r="I344" s="1"/>
  <c r="I251"/>
  <c r="J251" s="1"/>
  <c r="I231"/>
  <c r="J231" s="1"/>
  <c r="I298"/>
  <c r="J298" s="1"/>
  <c r="I87"/>
  <c r="J87" s="1"/>
  <c r="I66"/>
  <c r="I75"/>
  <c r="H135"/>
  <c r="I108"/>
  <c r="J108" s="1"/>
  <c r="I99"/>
  <c r="I545"/>
  <c r="J545" s="1"/>
  <c r="I162"/>
  <c r="J162" s="1"/>
  <c r="J35"/>
  <c r="I118"/>
  <c r="J118" s="1"/>
  <c r="J119"/>
  <c r="G643"/>
  <c r="H643" s="1"/>
  <c r="H658"/>
  <c r="E33"/>
  <c r="F33" s="1"/>
  <c r="I135"/>
  <c r="J135" s="1"/>
  <c r="J136"/>
  <c r="J153"/>
  <c r="E673"/>
  <c r="F673" s="1"/>
  <c r="J113"/>
  <c r="J75"/>
  <c r="J322"/>
  <c r="G344"/>
  <c r="H344" s="1"/>
  <c r="H360"/>
  <c r="G468"/>
  <c r="H468" s="1"/>
  <c r="H469"/>
  <c r="G211"/>
  <c r="H211" s="1"/>
  <c r="H212"/>
  <c r="S636" i="83"/>
  <c r="V636" s="1"/>
  <c r="R636"/>
  <c r="AW76"/>
  <c r="AX76"/>
  <c r="I604" i="84"/>
  <c r="J604" s="1"/>
  <c r="J605"/>
  <c r="I15"/>
  <c r="J15" s="1"/>
  <c r="H15"/>
  <c r="J212"/>
  <c r="G86"/>
  <c r="H86" s="1"/>
  <c r="H87"/>
  <c r="H35"/>
  <c r="I490"/>
  <c r="J490" s="1"/>
  <c r="J491"/>
  <c r="J99"/>
  <c r="I8"/>
  <c r="J8" s="1"/>
  <c r="H8"/>
  <c r="J360"/>
  <c r="G118"/>
  <c r="H118" s="1"/>
  <c r="H119"/>
  <c r="G490"/>
  <c r="H490" s="1"/>
  <c r="H491"/>
  <c r="AR76" i="83"/>
  <c r="AS76"/>
  <c r="AZ76"/>
  <c r="AW154"/>
  <c r="AX549"/>
  <c r="J396" i="84"/>
  <c r="I643"/>
  <c r="J643" s="1"/>
  <c r="J66"/>
  <c r="H604"/>
  <c r="G514"/>
  <c r="H514" s="1"/>
  <c r="J573"/>
  <c r="BB591" i="83"/>
  <c r="AY591"/>
  <c r="M33"/>
  <c r="AD33" s="1"/>
  <c r="AW136"/>
  <c r="Q33"/>
  <c r="AX69"/>
  <c r="AX35"/>
  <c r="AL34"/>
  <c r="AV34"/>
  <c r="AQ34"/>
  <c r="AV443"/>
  <c r="AW443" s="1"/>
  <c r="AQ443"/>
  <c r="AL443"/>
  <c r="AW48"/>
  <c r="AX48"/>
  <c r="AZ77"/>
  <c r="AR77"/>
  <c r="AS77"/>
  <c r="AY77" s="1"/>
  <c r="AW118"/>
  <c r="AX118"/>
  <c r="AW257"/>
  <c r="AX257"/>
  <c r="AS636"/>
  <c r="AZ636"/>
  <c r="AR636"/>
  <c r="AZ607"/>
  <c r="AR607"/>
  <c r="AS607"/>
  <c r="AY607" s="1"/>
  <c r="BB632"/>
  <c r="AY632"/>
  <c r="AW84"/>
  <c r="AX84"/>
  <c r="AS88"/>
  <c r="AY88" s="1"/>
  <c r="AZ88"/>
  <c r="AR88"/>
  <c r="AS653"/>
  <c r="AY653" s="1"/>
  <c r="AZ653"/>
  <c r="AR653"/>
  <c r="AZ69"/>
  <c r="AR69"/>
  <c r="AS69"/>
  <c r="AY69" s="1"/>
  <c r="AY218"/>
  <c r="BB218"/>
  <c r="AW271"/>
  <c r="AX271"/>
  <c r="AZ329"/>
  <c r="AR329"/>
  <c r="AS329"/>
  <c r="AL548"/>
  <c r="AV548"/>
  <c r="AQ548"/>
  <c r="AZ487"/>
  <c r="AR487"/>
  <c r="AS487"/>
  <c r="AY602"/>
  <c r="BA602"/>
  <c r="AY595"/>
  <c r="BA595"/>
  <c r="M677"/>
  <c r="U677" s="1"/>
  <c r="AU677" s="1"/>
  <c r="AX136"/>
  <c r="AX374"/>
  <c r="AS48"/>
  <c r="AY48" s="1"/>
  <c r="AZ48"/>
  <c r="AR48"/>
  <c r="AL122"/>
  <c r="AV122"/>
  <c r="AW122" s="1"/>
  <c r="AQ122"/>
  <c r="AW39"/>
  <c r="AX39"/>
  <c r="AW77"/>
  <c r="AX77"/>
  <c r="AS257"/>
  <c r="AY257" s="1"/>
  <c r="AZ257"/>
  <c r="AR257"/>
  <c r="AR136"/>
  <c r="AZ136"/>
  <c r="AS136"/>
  <c r="AY136" s="1"/>
  <c r="AW309"/>
  <c r="AX309"/>
  <c r="AW636"/>
  <c r="AX636"/>
  <c r="AW88"/>
  <c r="AX88"/>
  <c r="AR49"/>
  <c r="AS49"/>
  <c r="AY49" s="1"/>
  <c r="AZ49"/>
  <c r="AS102"/>
  <c r="AY102" s="1"/>
  <c r="AZ102"/>
  <c r="AR102"/>
  <c r="AW653"/>
  <c r="AX653"/>
  <c r="AZ114"/>
  <c r="AR114"/>
  <c r="AS114"/>
  <c r="AY114" s="1"/>
  <c r="AS395"/>
  <c r="AZ395"/>
  <c r="AR395"/>
  <c r="AZ200"/>
  <c r="AR200"/>
  <c r="AS200"/>
  <c r="BB306"/>
  <c r="AY306"/>
  <c r="AW329"/>
  <c r="AX329"/>
  <c r="AW487"/>
  <c r="AX487"/>
  <c r="AY566"/>
  <c r="BA566"/>
  <c r="AQ53"/>
  <c r="G52" i="84" s="1"/>
  <c r="I52" s="1"/>
  <c r="AV53" i="83"/>
  <c r="AL53"/>
  <c r="AS291"/>
  <c r="AY291" s="1"/>
  <c r="AZ291"/>
  <c r="AR291"/>
  <c r="AZ417"/>
  <c r="AR417"/>
  <c r="AS417"/>
  <c r="AY410"/>
  <c r="BB410"/>
  <c r="AY347"/>
  <c r="BB347"/>
  <c r="AQ36"/>
  <c r="AZ36" s="1"/>
  <c r="AZ35"/>
  <c r="AR35"/>
  <c r="AS35"/>
  <c r="AX457"/>
  <c r="AZ15"/>
  <c r="AX607"/>
  <c r="AX123"/>
  <c r="AQ45"/>
  <c r="G43" i="84" s="1"/>
  <c r="I43" s="1"/>
  <c r="AL45" i="83"/>
  <c r="AV45"/>
  <c r="AZ123"/>
  <c r="AR123"/>
  <c r="AS123"/>
  <c r="AZ39"/>
  <c r="AR39"/>
  <c r="AS39"/>
  <c r="AY39" s="1"/>
  <c r="S677"/>
  <c r="V677" s="1"/>
  <c r="V34"/>
  <c r="AL248"/>
  <c r="AV248"/>
  <c r="AQ248"/>
  <c r="G189" i="84" s="1"/>
  <c r="I189" s="1"/>
  <c r="AT102" i="83"/>
  <c r="AU102" s="1"/>
  <c r="AX102" s="1"/>
  <c r="AU110"/>
  <c r="AX110" s="1"/>
  <c r="AZ374"/>
  <c r="AR374"/>
  <c r="AS374"/>
  <c r="AR154"/>
  <c r="AZ154"/>
  <c r="AS154"/>
  <c r="AY154" s="1"/>
  <c r="AZ457"/>
  <c r="AR457"/>
  <c r="AS457"/>
  <c r="AY588"/>
  <c r="BA588"/>
  <c r="Q677"/>
  <c r="R34"/>
  <c r="AZ271"/>
  <c r="AR271"/>
  <c r="AS271"/>
  <c r="AW395"/>
  <c r="AX395"/>
  <c r="AW200"/>
  <c r="AX200"/>
  <c r="AY560"/>
  <c r="BB559"/>
  <c r="AY625"/>
  <c r="BA625"/>
  <c r="AW56"/>
  <c r="AX56"/>
  <c r="AV290"/>
  <c r="AQ290"/>
  <c r="AL290"/>
  <c r="AV416"/>
  <c r="AL416"/>
  <c r="AQ416"/>
  <c r="AY552"/>
  <c r="BA552"/>
  <c r="AX122"/>
  <c r="AW114"/>
  <c r="AD290"/>
  <c r="AZ118"/>
  <c r="AR118"/>
  <c r="AS118"/>
  <c r="AY224"/>
  <c r="BB224"/>
  <c r="AZ309"/>
  <c r="AR309"/>
  <c r="AS309"/>
  <c r="AY309" s="1"/>
  <c r="AL635"/>
  <c r="AV635"/>
  <c r="AW635" s="1"/>
  <c r="AQ635"/>
  <c r="AY617"/>
  <c r="BA617"/>
  <c r="AR84"/>
  <c r="AZ84"/>
  <c r="AS84"/>
  <c r="AY84" s="1"/>
  <c r="AL87"/>
  <c r="AV87"/>
  <c r="AW87" s="1"/>
  <c r="AQ87"/>
  <c r="AW49"/>
  <c r="AX49"/>
  <c r="AZ110"/>
  <c r="AR110"/>
  <c r="AS110"/>
  <c r="AY110" s="1"/>
  <c r="AL270"/>
  <c r="AV270"/>
  <c r="AW270" s="1"/>
  <c r="AQ270"/>
  <c r="R123"/>
  <c r="S123"/>
  <c r="V123" s="1"/>
  <c r="AX351"/>
  <c r="AW351"/>
  <c r="AZ549"/>
  <c r="AR549"/>
  <c r="AS549"/>
  <c r="AY549" s="1"/>
  <c r="AY672"/>
  <c r="BB672"/>
  <c r="AC33"/>
  <c r="AZ33"/>
  <c r="AC677"/>
  <c r="AS56"/>
  <c r="AY56" s="1"/>
  <c r="AZ56"/>
  <c r="AR56"/>
  <c r="AW291"/>
  <c r="AX291"/>
  <c r="AK192"/>
  <c r="U290"/>
  <c r="AU290" s="1"/>
  <c r="AX154"/>
  <c r="I86" i="84" l="1"/>
  <c r="J86" s="1"/>
  <c r="G673"/>
  <c r="H673" s="1"/>
  <c r="H189"/>
  <c r="J189"/>
  <c r="AY76" i="83"/>
  <c r="BB76"/>
  <c r="BB677" s="1"/>
  <c r="G152" i="84"/>
  <c r="H152" s="1"/>
  <c r="I152"/>
  <c r="J152" s="1"/>
  <c r="H52"/>
  <c r="J52"/>
  <c r="I211"/>
  <c r="J211" s="1"/>
  <c r="H43"/>
  <c r="I468"/>
  <c r="J468" s="1"/>
  <c r="J469"/>
  <c r="J658"/>
  <c r="G34"/>
  <c r="H34" s="1"/>
  <c r="J515"/>
  <c r="I514"/>
  <c r="J514" s="1"/>
  <c r="AX635" i="83"/>
  <c r="R33"/>
  <c r="AX290"/>
  <c r="U33"/>
  <c r="AU33" s="1"/>
  <c r="S33"/>
  <c r="V33" s="1"/>
  <c r="AW110"/>
  <c r="AD677"/>
  <c r="R677"/>
  <c r="AL192"/>
  <c r="AV192"/>
  <c r="AQ192"/>
  <c r="AZ416"/>
  <c r="AR416"/>
  <c r="AS416"/>
  <c r="AY416" s="1"/>
  <c r="AZ290"/>
  <c r="AR290"/>
  <c r="AS290"/>
  <c r="AY290" s="1"/>
  <c r="BA271"/>
  <c r="AY271"/>
  <c r="BA395"/>
  <c r="AY395"/>
  <c r="AY329"/>
  <c r="BA329"/>
  <c r="AR34"/>
  <c r="AS34"/>
  <c r="AY34" s="1"/>
  <c r="AW102"/>
  <c r="AX87"/>
  <c r="AK677"/>
  <c r="AY457"/>
  <c r="BA457"/>
  <c r="AW248"/>
  <c r="AX248"/>
  <c r="AZ45"/>
  <c r="AR45"/>
  <c r="AS45"/>
  <c r="AY45" s="1"/>
  <c r="BA200"/>
  <c r="AY200"/>
  <c r="BA636"/>
  <c r="AY636"/>
  <c r="AX270"/>
  <c r="AK33"/>
  <c r="AR270"/>
  <c r="AS270"/>
  <c r="AY270" s="1"/>
  <c r="AZ270"/>
  <c r="AR87"/>
  <c r="AZ87"/>
  <c r="AS87"/>
  <c r="AY87" s="1"/>
  <c r="AR635"/>
  <c r="AZ635"/>
  <c r="AS635"/>
  <c r="AY635" s="1"/>
  <c r="AY118"/>
  <c r="BA118"/>
  <c r="AW416"/>
  <c r="AX416"/>
  <c r="AZ248"/>
  <c r="AR248"/>
  <c r="AS248"/>
  <c r="AY123"/>
  <c r="BA123"/>
  <c r="AY35"/>
  <c r="BA35"/>
  <c r="BA417"/>
  <c r="AY417"/>
  <c r="AZ53"/>
  <c r="AR53"/>
  <c r="AS53"/>
  <c r="AY53" s="1"/>
  <c r="AZ122"/>
  <c r="AR122"/>
  <c r="AS122"/>
  <c r="AY122" s="1"/>
  <c r="AY487"/>
  <c r="BA487"/>
  <c r="AW548"/>
  <c r="AX548"/>
  <c r="AZ443"/>
  <c r="AR443"/>
  <c r="AS443"/>
  <c r="AY443" s="1"/>
  <c r="AX443"/>
  <c r="AY374"/>
  <c r="BA374"/>
  <c r="AW45"/>
  <c r="AX45"/>
  <c r="AW53"/>
  <c r="AX53"/>
  <c r="AZ548"/>
  <c r="AR548"/>
  <c r="AS548"/>
  <c r="AY548" s="1"/>
  <c r="AW34"/>
  <c r="AX34"/>
  <c r="AW290"/>
  <c r="I673" i="84" l="1"/>
  <c r="J673" s="1"/>
  <c r="J43"/>
  <c r="I34"/>
  <c r="J34" s="1"/>
  <c r="AL677" i="83"/>
  <c r="AQ677"/>
  <c r="AV677"/>
  <c r="AY248"/>
  <c r="BA248"/>
  <c r="AL33"/>
  <c r="AQ33"/>
  <c r="G33" i="84" s="1"/>
  <c r="AV33" i="83"/>
  <c r="AW192"/>
  <c r="AX192"/>
  <c r="BA677"/>
  <c r="AZ192"/>
  <c r="AR192"/>
  <c r="AS192"/>
  <c r="AY192" s="1"/>
  <c r="I33" i="84" l="1"/>
  <c r="J33" s="1"/>
  <c r="H33"/>
  <c r="AZ677" i="83"/>
  <c r="AR677"/>
  <c r="AS677"/>
  <c r="AY677" s="1"/>
  <c r="AR33"/>
  <c r="AS33"/>
  <c r="AY33" s="1"/>
  <c r="AW677"/>
  <c r="AX677"/>
  <c r="AW33"/>
  <c r="AX33"/>
  <c r="AO678" i="79"/>
  <c r="AZ678" s="1"/>
  <c r="AT677"/>
  <c r="AZ676"/>
  <c r="AC676"/>
  <c r="AZ675"/>
  <c r="AK675"/>
  <c r="AD675"/>
  <c r="AC675"/>
  <c r="U675"/>
  <c r="Q675"/>
  <c r="R675" s="1"/>
  <c r="AZ674"/>
  <c r="AC674"/>
  <c r="V674"/>
  <c r="U674"/>
  <c r="AU673"/>
  <c r="AK673"/>
  <c r="AV673" s="1"/>
  <c r="AW673" s="1"/>
  <c r="AD673"/>
  <c r="AC673"/>
  <c r="U673"/>
  <c r="Q673"/>
  <c r="AJ672"/>
  <c r="AD672"/>
  <c r="AC672"/>
  <c r="U672"/>
  <c r="AU672" s="1"/>
  <c r="R672"/>
  <c r="Q672"/>
  <c r="S672" s="1"/>
  <c r="V672" s="1"/>
  <c r="AZ671"/>
  <c r="AC671"/>
  <c r="AU670"/>
  <c r="AD670"/>
  <c r="AC670"/>
  <c r="U670"/>
  <c r="N670"/>
  <c r="AK670" s="1"/>
  <c r="AZ669"/>
  <c r="AC669"/>
  <c r="AK668"/>
  <c r="AD668"/>
  <c r="AC668"/>
  <c r="U668"/>
  <c r="AU668" s="1"/>
  <c r="S668"/>
  <c r="V668" s="1"/>
  <c r="Q668"/>
  <c r="AK667"/>
  <c r="AL667" s="1"/>
  <c r="AD667"/>
  <c r="AC667"/>
  <c r="U667"/>
  <c r="AU667" s="1"/>
  <c r="S667"/>
  <c r="V667" s="1"/>
  <c r="Q667"/>
  <c r="R667" s="1"/>
  <c r="AZ666"/>
  <c r="AC666"/>
  <c r="AK665"/>
  <c r="AL665" s="1"/>
  <c r="AD665"/>
  <c r="AC665"/>
  <c r="U665"/>
  <c r="AU665" s="1"/>
  <c r="S665"/>
  <c r="V665" s="1"/>
  <c r="Q665"/>
  <c r="R665" s="1"/>
  <c r="AK664"/>
  <c r="AV664" s="1"/>
  <c r="AW664" s="1"/>
  <c r="AD664"/>
  <c r="AC664"/>
  <c r="U664"/>
  <c r="AU664" s="1"/>
  <c r="R664"/>
  <c r="Q664"/>
  <c r="S664" s="1"/>
  <c r="V664" s="1"/>
  <c r="AZ663"/>
  <c r="AC663"/>
  <c r="AV662"/>
  <c r="AK662"/>
  <c r="AD662"/>
  <c r="AC662"/>
  <c r="U662"/>
  <c r="AU662" s="1"/>
  <c r="AX662" s="1"/>
  <c r="R662"/>
  <c r="Q662"/>
  <c r="S662" s="1"/>
  <c r="V662" s="1"/>
  <c r="AZ661"/>
  <c r="AC661"/>
  <c r="AZ660"/>
  <c r="AC660"/>
  <c r="AV659"/>
  <c r="AS659"/>
  <c r="AY659" s="1"/>
  <c r="AR659"/>
  <c r="AQ659"/>
  <c r="AZ659" s="1"/>
  <c r="AD659"/>
  <c r="AL659" s="1"/>
  <c r="AC659"/>
  <c r="U659"/>
  <c r="AU659" s="1"/>
  <c r="Q659"/>
  <c r="S659" s="1"/>
  <c r="V659" s="1"/>
  <c r="AK658"/>
  <c r="AD658"/>
  <c r="AC658"/>
  <c r="U658"/>
  <c r="AU658" s="1"/>
  <c r="Q658"/>
  <c r="S658" s="1"/>
  <c r="V658" s="1"/>
  <c r="AZ657"/>
  <c r="AC657"/>
  <c r="AK656"/>
  <c r="AL656" s="1"/>
  <c r="AD656"/>
  <c r="AC656"/>
  <c r="U656"/>
  <c r="AU656" s="1"/>
  <c r="S656"/>
  <c r="V656" s="1"/>
  <c r="Q656"/>
  <c r="AZ655"/>
  <c r="AC655"/>
  <c r="AZ654"/>
  <c r="AC654"/>
  <c r="AT653"/>
  <c r="AP653"/>
  <c r="AO653"/>
  <c r="AN653"/>
  <c r="AM653"/>
  <c r="AI653"/>
  <c r="AH653"/>
  <c r="AG653"/>
  <c r="AG635" s="1"/>
  <c r="AF653"/>
  <c r="AE653"/>
  <c r="AB653"/>
  <c r="AA653"/>
  <c r="AA635" s="1"/>
  <c r="Y653"/>
  <c r="X653"/>
  <c r="W653"/>
  <c r="T653"/>
  <c r="T635" s="1"/>
  <c r="P653"/>
  <c r="O653"/>
  <c r="N653"/>
  <c r="Q653" s="1"/>
  <c r="R653" s="1"/>
  <c r="M653"/>
  <c r="L653"/>
  <c r="AC653" s="1"/>
  <c r="AK652"/>
  <c r="AD652"/>
  <c r="AC652"/>
  <c r="U652"/>
  <c r="AU652" s="1"/>
  <c r="S652"/>
  <c r="V652" s="1"/>
  <c r="R652"/>
  <c r="Q652"/>
  <c r="AZ651"/>
  <c r="AC651"/>
  <c r="V651"/>
  <c r="U651"/>
  <c r="AU650"/>
  <c r="AQ650"/>
  <c r="AZ650" s="1"/>
  <c r="AK650"/>
  <c r="AV650" s="1"/>
  <c r="AW650" s="1"/>
  <c r="AD650"/>
  <c r="AC650"/>
  <c r="U650"/>
  <c r="R650"/>
  <c r="Q650"/>
  <c r="S650" s="1"/>
  <c r="V650" s="1"/>
  <c r="AK649"/>
  <c r="AL649" s="1"/>
  <c r="AJ649"/>
  <c r="AJ636" s="1"/>
  <c r="AD649"/>
  <c r="AC649"/>
  <c r="U649"/>
  <c r="AU649" s="1"/>
  <c r="Q649"/>
  <c r="R649" s="1"/>
  <c r="AZ648"/>
  <c r="AC648"/>
  <c r="V648"/>
  <c r="U648"/>
  <c r="AV647"/>
  <c r="AQ647"/>
  <c r="AK647"/>
  <c r="AD647"/>
  <c r="AC647"/>
  <c r="U647"/>
  <c r="AU647" s="1"/>
  <c r="R647"/>
  <c r="Q647"/>
  <c r="S647" s="1"/>
  <c r="V647" s="1"/>
  <c r="AZ646"/>
  <c r="AC646"/>
  <c r="V646"/>
  <c r="U646"/>
  <c r="AU645"/>
  <c r="AK645"/>
  <c r="AV645" s="1"/>
  <c r="AD645"/>
  <c r="AC645"/>
  <c r="U645"/>
  <c r="Q645"/>
  <c r="R645" s="1"/>
  <c r="AK644"/>
  <c r="AL644" s="1"/>
  <c r="AD644"/>
  <c r="AC644"/>
  <c r="U644"/>
  <c r="AU644" s="1"/>
  <c r="Q644"/>
  <c r="AD643"/>
  <c r="AC643"/>
  <c r="U643"/>
  <c r="AU643" s="1"/>
  <c r="N643"/>
  <c r="AK643" s="1"/>
  <c r="AZ642"/>
  <c r="AC642"/>
  <c r="V642"/>
  <c r="U642"/>
  <c r="AK641"/>
  <c r="AD641"/>
  <c r="AC641"/>
  <c r="U641"/>
  <c r="AU641" s="1"/>
  <c r="S641"/>
  <c r="V641" s="1"/>
  <c r="Q641"/>
  <c r="R641" s="1"/>
  <c r="AZ640"/>
  <c r="AC640"/>
  <c r="V640"/>
  <c r="U640"/>
  <c r="AZ639"/>
  <c r="AC639"/>
  <c r="V639"/>
  <c r="U639"/>
  <c r="AL638"/>
  <c r="AK638"/>
  <c r="AV638" s="1"/>
  <c r="AD638"/>
  <c r="AC638"/>
  <c r="U638"/>
  <c r="AU638" s="1"/>
  <c r="AX638" s="1"/>
  <c r="Q638"/>
  <c r="R638" s="1"/>
  <c r="AZ637"/>
  <c r="AC637"/>
  <c r="V637"/>
  <c r="U637"/>
  <c r="AT636"/>
  <c r="AP636"/>
  <c r="AP635" s="1"/>
  <c r="AO636"/>
  <c r="AO635" s="1"/>
  <c r="AN636"/>
  <c r="AM636"/>
  <c r="AI636"/>
  <c r="AI635" s="1"/>
  <c r="AH636"/>
  <c r="AH635" s="1"/>
  <c r="AG636"/>
  <c r="AF636"/>
  <c r="AF635" s="1"/>
  <c r="AE636"/>
  <c r="AB636"/>
  <c r="AB635" s="1"/>
  <c r="AA636"/>
  <c r="Y636"/>
  <c r="Y635" s="1"/>
  <c r="X636"/>
  <c r="W636"/>
  <c r="W635" s="1"/>
  <c r="T636"/>
  <c r="P636"/>
  <c r="O636"/>
  <c r="M636"/>
  <c r="AD636" s="1"/>
  <c r="L636"/>
  <c r="AN635"/>
  <c r="AM635"/>
  <c r="AE635"/>
  <c r="X635"/>
  <c r="P635"/>
  <c r="O635"/>
  <c r="L635"/>
  <c r="AK634"/>
  <c r="AD634"/>
  <c r="AC634"/>
  <c r="U634"/>
  <c r="AU634" s="1"/>
  <c r="S634"/>
  <c r="V634" s="1"/>
  <c r="Q634"/>
  <c r="AZ633"/>
  <c r="AC633"/>
  <c r="AV632"/>
  <c r="AQ632"/>
  <c r="AZ632" s="1"/>
  <c r="AK632"/>
  <c r="AD632"/>
  <c r="AC632"/>
  <c r="U632"/>
  <c r="AU632" s="1"/>
  <c r="Q632"/>
  <c r="S632" s="1"/>
  <c r="V632" s="1"/>
  <c r="AK631"/>
  <c r="AD631"/>
  <c r="AC631"/>
  <c r="U631"/>
  <c r="AU631" s="1"/>
  <c r="Q631"/>
  <c r="S631" s="1"/>
  <c r="V631" s="1"/>
  <c r="AZ630"/>
  <c r="AC630"/>
  <c r="AK629"/>
  <c r="AD629"/>
  <c r="AC629"/>
  <c r="U629"/>
  <c r="AU629" s="1"/>
  <c r="S629"/>
  <c r="V629" s="1"/>
  <c r="Q629"/>
  <c r="AZ628"/>
  <c r="AC628"/>
  <c r="AV627"/>
  <c r="AK627"/>
  <c r="AD627"/>
  <c r="AC627"/>
  <c r="U627"/>
  <c r="AU627" s="1"/>
  <c r="AX627" s="1"/>
  <c r="Q627"/>
  <c r="S627" s="1"/>
  <c r="V627" s="1"/>
  <c r="AZ626"/>
  <c r="AC626"/>
  <c r="AU625"/>
  <c r="AX625" s="1"/>
  <c r="AK625"/>
  <c r="AV625" s="1"/>
  <c r="AD625"/>
  <c r="AL625" s="1"/>
  <c r="AC625"/>
  <c r="U625"/>
  <c r="Q625"/>
  <c r="S625" s="1"/>
  <c r="V625" s="1"/>
  <c r="AZ624"/>
  <c r="AC624"/>
  <c r="AU623"/>
  <c r="AK623"/>
  <c r="AD623"/>
  <c r="AC623"/>
  <c r="U623"/>
  <c r="Q623"/>
  <c r="S623" s="1"/>
  <c r="V623" s="1"/>
  <c r="AZ622"/>
  <c r="AC622"/>
  <c r="AK621"/>
  <c r="AD621"/>
  <c r="AC621"/>
  <c r="U621"/>
  <c r="AU621" s="1"/>
  <c r="Q621"/>
  <c r="S621" s="1"/>
  <c r="V621" s="1"/>
  <c r="AK620"/>
  <c r="AV620" s="1"/>
  <c r="AD620"/>
  <c r="AL620" s="1"/>
  <c r="AC620"/>
  <c r="U620"/>
  <c r="AU620" s="1"/>
  <c r="Q620"/>
  <c r="S620" s="1"/>
  <c r="V620" s="1"/>
  <c r="AK619"/>
  <c r="AV619" s="1"/>
  <c r="AW619" s="1"/>
  <c r="AD619"/>
  <c r="AC619"/>
  <c r="U619"/>
  <c r="AU619" s="1"/>
  <c r="Q619"/>
  <c r="S619" s="1"/>
  <c r="V619" s="1"/>
  <c r="AZ618"/>
  <c r="AC618"/>
  <c r="AU617"/>
  <c r="AK617"/>
  <c r="AV617" s="1"/>
  <c r="AW617" s="1"/>
  <c r="AD617"/>
  <c r="AC617"/>
  <c r="U617"/>
  <c r="Q617"/>
  <c r="S617" s="1"/>
  <c r="V617" s="1"/>
  <c r="AV616"/>
  <c r="AK616"/>
  <c r="AQ616" s="1"/>
  <c r="AD616"/>
  <c r="AL616" s="1"/>
  <c r="AC616"/>
  <c r="U616"/>
  <c r="AU616" s="1"/>
  <c r="Q616"/>
  <c r="S616" s="1"/>
  <c r="V616" s="1"/>
  <c r="AZ615"/>
  <c r="AC615"/>
  <c r="AU614"/>
  <c r="AX614" s="1"/>
  <c r="AK614"/>
  <c r="AV614" s="1"/>
  <c r="AD614"/>
  <c r="AC614"/>
  <c r="U614"/>
  <c r="Q614"/>
  <c r="AZ613"/>
  <c r="AC613"/>
  <c r="V613"/>
  <c r="U613"/>
  <c r="AZ612"/>
  <c r="AC612"/>
  <c r="AU611"/>
  <c r="AX611" s="1"/>
  <c r="AK611"/>
  <c r="AV611" s="1"/>
  <c r="AD611"/>
  <c r="AC611"/>
  <c r="U611"/>
  <c r="Q611"/>
  <c r="S611" s="1"/>
  <c r="V611" s="1"/>
  <c r="AV610"/>
  <c r="AK610"/>
  <c r="AQ610" s="1"/>
  <c r="AD610"/>
  <c r="AC610"/>
  <c r="U610"/>
  <c r="AU610" s="1"/>
  <c r="Q610"/>
  <c r="S610" s="1"/>
  <c r="V610" s="1"/>
  <c r="AZ609"/>
  <c r="AC609"/>
  <c r="AZ608"/>
  <c r="AM608"/>
  <c r="AC608"/>
  <c r="AT607"/>
  <c r="AP607"/>
  <c r="AO607"/>
  <c r="AN607"/>
  <c r="AM607"/>
  <c r="AJ607"/>
  <c r="AI607"/>
  <c r="AH607"/>
  <c r="AG607"/>
  <c r="AF607"/>
  <c r="AE607"/>
  <c r="AB607"/>
  <c r="AA607"/>
  <c r="Y607"/>
  <c r="X607"/>
  <c r="W607"/>
  <c r="T607"/>
  <c r="P607"/>
  <c r="O607"/>
  <c r="N607"/>
  <c r="M607"/>
  <c r="U607" s="1"/>
  <c r="AU607" s="1"/>
  <c r="L607"/>
  <c r="AK606"/>
  <c r="AV606" s="1"/>
  <c r="AD606"/>
  <c r="AC606"/>
  <c r="U606"/>
  <c r="AU606" s="1"/>
  <c r="Q606"/>
  <c r="AZ605"/>
  <c r="AC605"/>
  <c r="AK604"/>
  <c r="AD604"/>
  <c r="AC604"/>
  <c r="U604"/>
  <c r="AU604" s="1"/>
  <c r="Q604"/>
  <c r="S604" s="1"/>
  <c r="V604" s="1"/>
  <c r="AZ603"/>
  <c r="AC603"/>
  <c r="AU602"/>
  <c r="AX602" s="1"/>
  <c r="AL602"/>
  <c r="AK602"/>
  <c r="AV602" s="1"/>
  <c r="AD602"/>
  <c r="AC602"/>
  <c r="V602"/>
  <c r="U602"/>
  <c r="Q602"/>
  <c r="S602" s="1"/>
  <c r="AV601"/>
  <c r="AK601"/>
  <c r="AD601"/>
  <c r="AC601"/>
  <c r="U601"/>
  <c r="AU601" s="1"/>
  <c r="R601"/>
  <c r="Q601"/>
  <c r="S601" s="1"/>
  <c r="V601" s="1"/>
  <c r="AZ600"/>
  <c r="AC600"/>
  <c r="AZ599"/>
  <c r="AQ599"/>
  <c r="AL599"/>
  <c r="AK599"/>
  <c r="AV599" s="1"/>
  <c r="AD599"/>
  <c r="AC599"/>
  <c r="U599"/>
  <c r="AU599" s="1"/>
  <c r="AX599" s="1"/>
  <c r="Q599"/>
  <c r="S599" s="1"/>
  <c r="V599" s="1"/>
  <c r="AZ598"/>
  <c r="AC598"/>
  <c r="AQ597"/>
  <c r="AZ597" s="1"/>
  <c r="AL597"/>
  <c r="AK597"/>
  <c r="AV597" s="1"/>
  <c r="AD597"/>
  <c r="AC597"/>
  <c r="U597"/>
  <c r="AU597" s="1"/>
  <c r="AX597" s="1"/>
  <c r="Q597"/>
  <c r="S597" s="1"/>
  <c r="V597" s="1"/>
  <c r="AZ596"/>
  <c r="AC596"/>
  <c r="AV595"/>
  <c r="AK595"/>
  <c r="AD595"/>
  <c r="AC595"/>
  <c r="U595"/>
  <c r="AU595" s="1"/>
  <c r="AX595" s="1"/>
  <c r="Q595"/>
  <c r="S595" s="1"/>
  <c r="V595" s="1"/>
  <c r="AZ594"/>
  <c r="AC594"/>
  <c r="AU593"/>
  <c r="AL593"/>
  <c r="AK593"/>
  <c r="AV593" s="1"/>
  <c r="AD593"/>
  <c r="AC593"/>
  <c r="U593"/>
  <c r="Q593"/>
  <c r="S593" s="1"/>
  <c r="V593" s="1"/>
  <c r="AZ592"/>
  <c r="AQ592"/>
  <c r="AL592"/>
  <c r="AK592"/>
  <c r="AV592" s="1"/>
  <c r="AD592"/>
  <c r="AC592"/>
  <c r="U592"/>
  <c r="AU592" s="1"/>
  <c r="Q592"/>
  <c r="S592" s="1"/>
  <c r="V592" s="1"/>
  <c r="AK591"/>
  <c r="AD591"/>
  <c r="AC591"/>
  <c r="U591"/>
  <c r="AU591" s="1"/>
  <c r="Q591"/>
  <c r="S591" s="1"/>
  <c r="V591" s="1"/>
  <c r="AZ590"/>
  <c r="AC590"/>
  <c r="AV589"/>
  <c r="AW589" s="1"/>
  <c r="AR589"/>
  <c r="AK589"/>
  <c r="AQ589" s="1"/>
  <c r="AZ589" s="1"/>
  <c r="AD589"/>
  <c r="AC589"/>
  <c r="U589"/>
  <c r="AU589" s="1"/>
  <c r="Q589"/>
  <c r="AU588"/>
  <c r="AQ588"/>
  <c r="AZ588" s="1"/>
  <c r="AK588"/>
  <c r="AV588" s="1"/>
  <c r="AW588" s="1"/>
  <c r="AD588"/>
  <c r="AC588"/>
  <c r="U588"/>
  <c r="Q588"/>
  <c r="S588" s="1"/>
  <c r="V588" s="1"/>
  <c r="AV587"/>
  <c r="AR587"/>
  <c r="AK587"/>
  <c r="AQ587" s="1"/>
  <c r="AZ587" s="1"/>
  <c r="AD587"/>
  <c r="AC587"/>
  <c r="U587"/>
  <c r="AU587" s="1"/>
  <c r="Q587"/>
  <c r="AZ586"/>
  <c r="AC586"/>
  <c r="AK585"/>
  <c r="AV585" s="1"/>
  <c r="AD585"/>
  <c r="AC585"/>
  <c r="U585"/>
  <c r="AU585" s="1"/>
  <c r="Q585"/>
  <c r="AZ584"/>
  <c r="AC584"/>
  <c r="V584"/>
  <c r="U584"/>
  <c r="AZ583"/>
  <c r="AC583"/>
  <c r="AV582"/>
  <c r="AW582" s="1"/>
  <c r="AK582"/>
  <c r="AQ582" s="1"/>
  <c r="AD582"/>
  <c r="AC582"/>
  <c r="U582"/>
  <c r="AU582" s="1"/>
  <c r="Q582"/>
  <c r="S582" s="1"/>
  <c r="V582" s="1"/>
  <c r="AK581"/>
  <c r="AD581"/>
  <c r="AC581"/>
  <c r="U581"/>
  <c r="AU581" s="1"/>
  <c r="S581"/>
  <c r="V581" s="1"/>
  <c r="Q581"/>
  <c r="R581" s="1"/>
  <c r="AZ580"/>
  <c r="AC580"/>
  <c r="AZ579"/>
  <c r="AC579"/>
  <c r="AT578"/>
  <c r="AP578"/>
  <c r="AO578"/>
  <c r="AN578"/>
  <c r="AM578"/>
  <c r="AJ578"/>
  <c r="AI578"/>
  <c r="AH578"/>
  <c r="AG578"/>
  <c r="AF578"/>
  <c r="AE578"/>
  <c r="AB578"/>
  <c r="AA578"/>
  <c r="Y578"/>
  <c r="X578"/>
  <c r="W578"/>
  <c r="T578"/>
  <c r="P578"/>
  <c r="O578"/>
  <c r="N578"/>
  <c r="M578"/>
  <c r="L578"/>
  <c r="AQ577"/>
  <c r="AL577"/>
  <c r="AK577"/>
  <c r="AV577" s="1"/>
  <c r="AD577"/>
  <c r="AC577"/>
  <c r="U577"/>
  <c r="AU577" s="1"/>
  <c r="Q577"/>
  <c r="S577" s="1"/>
  <c r="V577" s="1"/>
  <c r="AZ576"/>
  <c r="AC576"/>
  <c r="AK575"/>
  <c r="AL575" s="1"/>
  <c r="AD575"/>
  <c r="AC575"/>
  <c r="V575"/>
  <c r="U575"/>
  <c r="AU575" s="1"/>
  <c r="Q575"/>
  <c r="S575" s="1"/>
  <c r="AQ574"/>
  <c r="AK574"/>
  <c r="AV574" s="1"/>
  <c r="AD574"/>
  <c r="AC574"/>
  <c r="U574"/>
  <c r="AU574" s="1"/>
  <c r="Q574"/>
  <c r="S574" s="1"/>
  <c r="V574" s="1"/>
  <c r="AZ573"/>
  <c r="AC573"/>
  <c r="AU572"/>
  <c r="AQ572"/>
  <c r="AK572"/>
  <c r="AV572" s="1"/>
  <c r="AD572"/>
  <c r="AC572"/>
  <c r="U572"/>
  <c r="Q572"/>
  <c r="S572" s="1"/>
  <c r="V572" s="1"/>
  <c r="AZ571"/>
  <c r="AC571"/>
  <c r="AK570"/>
  <c r="AD570"/>
  <c r="AC570"/>
  <c r="U570"/>
  <c r="AU570" s="1"/>
  <c r="Q570"/>
  <c r="AZ569"/>
  <c r="AC569"/>
  <c r="AU568"/>
  <c r="AK568"/>
  <c r="AL568" s="1"/>
  <c r="AD568"/>
  <c r="AC568"/>
  <c r="U568"/>
  <c r="Q568"/>
  <c r="S568" s="1"/>
  <c r="V568" s="1"/>
  <c r="AZ567"/>
  <c r="AC567"/>
  <c r="AU566"/>
  <c r="AK566"/>
  <c r="AL566" s="1"/>
  <c r="AD566"/>
  <c r="AC566"/>
  <c r="X566"/>
  <c r="V566"/>
  <c r="U566"/>
  <c r="Q566"/>
  <c r="S566" s="1"/>
  <c r="AZ565"/>
  <c r="AC565"/>
  <c r="AK564"/>
  <c r="AD564"/>
  <c r="AL564" s="1"/>
  <c r="AC564"/>
  <c r="U564"/>
  <c r="AU564" s="1"/>
  <c r="S564"/>
  <c r="V564" s="1"/>
  <c r="Q564"/>
  <c r="AU563"/>
  <c r="AQ563"/>
  <c r="AK563"/>
  <c r="AV563" s="1"/>
  <c r="AW563" s="1"/>
  <c r="AD563"/>
  <c r="AC563"/>
  <c r="U563"/>
  <c r="Q563"/>
  <c r="S563" s="1"/>
  <c r="V563" s="1"/>
  <c r="AZ562"/>
  <c r="AC562"/>
  <c r="AK561"/>
  <c r="AD561"/>
  <c r="AL561" s="1"/>
  <c r="AC561"/>
  <c r="U561"/>
  <c r="AU561" s="1"/>
  <c r="S561"/>
  <c r="V561" s="1"/>
  <c r="Q561"/>
  <c r="AU560"/>
  <c r="AK560"/>
  <c r="AV560" s="1"/>
  <c r="AD560"/>
  <c r="AL560" s="1"/>
  <c r="AC560"/>
  <c r="U560"/>
  <c r="Q560"/>
  <c r="S560" s="1"/>
  <c r="V560" s="1"/>
  <c r="AK559"/>
  <c r="AD559"/>
  <c r="AC559"/>
  <c r="U559"/>
  <c r="AU559" s="1"/>
  <c r="Q559"/>
  <c r="S559" s="1"/>
  <c r="V559" s="1"/>
  <c r="AK558"/>
  <c r="AD558"/>
  <c r="AC558"/>
  <c r="U558"/>
  <c r="AU558" s="1"/>
  <c r="S558"/>
  <c r="V558" s="1"/>
  <c r="Q558"/>
  <c r="AZ557"/>
  <c r="AC557"/>
  <c r="AK556"/>
  <c r="AD556"/>
  <c r="AC556"/>
  <c r="U556"/>
  <c r="AU556" s="1"/>
  <c r="S556"/>
  <c r="V556" s="1"/>
  <c r="Q556"/>
  <c r="R556" s="1"/>
  <c r="AZ555"/>
  <c r="AC555"/>
  <c r="V555"/>
  <c r="U555"/>
  <c r="AZ554"/>
  <c r="AC554"/>
  <c r="AK553"/>
  <c r="AD553"/>
  <c r="AC553"/>
  <c r="U553"/>
  <c r="AU553" s="1"/>
  <c r="Q553"/>
  <c r="S553" s="1"/>
  <c r="V553" s="1"/>
  <c r="AQ552"/>
  <c r="AZ552" s="1"/>
  <c r="AK552"/>
  <c r="AV552" s="1"/>
  <c r="AD552"/>
  <c r="AC552"/>
  <c r="U552"/>
  <c r="AU552" s="1"/>
  <c r="Q552"/>
  <c r="S552" s="1"/>
  <c r="V552" s="1"/>
  <c r="AZ551"/>
  <c r="AC551"/>
  <c r="AZ550"/>
  <c r="AC550"/>
  <c r="AT549"/>
  <c r="AP549"/>
  <c r="AO549"/>
  <c r="AN549"/>
  <c r="AM549"/>
  <c r="AM548" s="1"/>
  <c r="AJ549"/>
  <c r="AI549"/>
  <c r="AH549"/>
  <c r="AG549"/>
  <c r="AG548" s="1"/>
  <c r="AF549"/>
  <c r="AE549"/>
  <c r="AE548" s="1"/>
  <c r="AB549"/>
  <c r="AA549"/>
  <c r="Y549"/>
  <c r="X549"/>
  <c r="W549"/>
  <c r="W548" s="1"/>
  <c r="T549"/>
  <c r="P549"/>
  <c r="O549"/>
  <c r="N549"/>
  <c r="M549"/>
  <c r="L549"/>
  <c r="AP548"/>
  <c r="AN548"/>
  <c r="AJ548"/>
  <c r="AH548"/>
  <c r="AF548"/>
  <c r="AA548"/>
  <c r="Y548"/>
  <c r="O548"/>
  <c r="M548"/>
  <c r="AQ547"/>
  <c r="AK547"/>
  <c r="AV547" s="1"/>
  <c r="AW547" s="1"/>
  <c r="AD547"/>
  <c r="AC547"/>
  <c r="U547"/>
  <c r="AU547" s="1"/>
  <c r="Q547"/>
  <c r="AZ546"/>
  <c r="AC546"/>
  <c r="AV545"/>
  <c r="AQ545"/>
  <c r="AZ545" s="1"/>
  <c r="AK545"/>
  <c r="AD545"/>
  <c r="AC545"/>
  <c r="U545"/>
  <c r="AU545" s="1"/>
  <c r="AX545" s="1"/>
  <c r="Q545"/>
  <c r="S545" s="1"/>
  <c r="V545" s="1"/>
  <c r="AK544"/>
  <c r="AD544"/>
  <c r="AC544"/>
  <c r="U544"/>
  <c r="AU544" s="1"/>
  <c r="S544"/>
  <c r="V544" s="1"/>
  <c r="R544"/>
  <c r="Q544"/>
  <c r="AZ543"/>
  <c r="AC543"/>
  <c r="AK542"/>
  <c r="AD542"/>
  <c r="AC542"/>
  <c r="U542"/>
  <c r="AU542" s="1"/>
  <c r="S542"/>
  <c r="V542" s="1"/>
  <c r="Q542"/>
  <c r="R542" s="1"/>
  <c r="AZ541"/>
  <c r="AC541"/>
  <c r="AK540"/>
  <c r="AD540"/>
  <c r="AC540"/>
  <c r="U540"/>
  <c r="AU540" s="1"/>
  <c r="R540"/>
  <c r="Q540"/>
  <c r="S540" s="1"/>
  <c r="V540" s="1"/>
  <c r="AZ539"/>
  <c r="AC539"/>
  <c r="V539"/>
  <c r="U539"/>
  <c r="AV538"/>
  <c r="AK538"/>
  <c r="AL538" s="1"/>
  <c r="AD538"/>
  <c r="AC538"/>
  <c r="U538"/>
  <c r="AU538" s="1"/>
  <c r="R538"/>
  <c r="Q538"/>
  <c r="S538" s="1"/>
  <c r="V538" s="1"/>
  <c r="AK537"/>
  <c r="AD537"/>
  <c r="AC537"/>
  <c r="U537"/>
  <c r="AU537" s="1"/>
  <c r="S537"/>
  <c r="V537" s="1"/>
  <c r="Q537"/>
  <c r="R537" s="1"/>
  <c r="AZ536"/>
  <c r="AC536"/>
  <c r="AK535"/>
  <c r="AD535"/>
  <c r="AC535"/>
  <c r="U535"/>
  <c r="AU535" s="1"/>
  <c r="R535"/>
  <c r="Q535"/>
  <c r="S535" s="1"/>
  <c r="V535" s="1"/>
  <c r="AZ534"/>
  <c r="AC534"/>
  <c r="AZ533"/>
  <c r="AC533"/>
  <c r="AZ532"/>
  <c r="AQ532"/>
  <c r="AK532"/>
  <c r="AV532" s="1"/>
  <c r="AW532" s="1"/>
  <c r="AD532"/>
  <c r="AC532"/>
  <c r="U532"/>
  <c r="AU532" s="1"/>
  <c r="Q532"/>
  <c r="AZ531"/>
  <c r="AC531"/>
  <c r="AZ530"/>
  <c r="AC530"/>
  <c r="AT529"/>
  <c r="AP529"/>
  <c r="AO529"/>
  <c r="AN529"/>
  <c r="AM529"/>
  <c r="AJ529"/>
  <c r="AI529"/>
  <c r="AH529"/>
  <c r="AH443" s="1"/>
  <c r="AG529"/>
  <c r="AF529"/>
  <c r="AE529"/>
  <c r="AB529"/>
  <c r="AB443" s="1"/>
  <c r="AA529"/>
  <c r="Y529"/>
  <c r="X529"/>
  <c r="W529"/>
  <c r="T529"/>
  <c r="P529"/>
  <c r="O529"/>
  <c r="N529"/>
  <c r="Q529" s="1"/>
  <c r="R529" s="1"/>
  <c r="M529"/>
  <c r="L529"/>
  <c r="AU528"/>
  <c r="AX528" s="1"/>
  <c r="AL528"/>
  <c r="AK528"/>
  <c r="AV528" s="1"/>
  <c r="AD528"/>
  <c r="AC528"/>
  <c r="V528"/>
  <c r="U528"/>
  <c r="S528"/>
  <c r="Q528"/>
  <c r="AV527"/>
  <c r="AW527" s="1"/>
  <c r="AK527"/>
  <c r="AL527" s="1"/>
  <c r="AD527"/>
  <c r="AC527"/>
  <c r="U527"/>
  <c r="AU527" s="1"/>
  <c r="Q527"/>
  <c r="S527" s="1"/>
  <c r="V527" s="1"/>
  <c r="AZ526"/>
  <c r="AC526"/>
  <c r="AK525"/>
  <c r="AV525" s="1"/>
  <c r="AD525"/>
  <c r="AL525" s="1"/>
  <c r="AC525"/>
  <c r="U525"/>
  <c r="AU525" s="1"/>
  <c r="AX525" s="1"/>
  <c r="S525"/>
  <c r="V525" s="1"/>
  <c r="Q525"/>
  <c r="AZ524"/>
  <c r="AC524"/>
  <c r="AK523"/>
  <c r="AD523"/>
  <c r="AC523"/>
  <c r="U523"/>
  <c r="AU523" s="1"/>
  <c r="Q523"/>
  <c r="S523" s="1"/>
  <c r="V523" s="1"/>
  <c r="AK522"/>
  <c r="AV522" s="1"/>
  <c r="AD522"/>
  <c r="AC522"/>
  <c r="U522"/>
  <c r="AU522" s="1"/>
  <c r="S522"/>
  <c r="V522" s="1"/>
  <c r="Q522"/>
  <c r="AV521"/>
  <c r="AQ521"/>
  <c r="AZ521" s="1"/>
  <c r="AK521"/>
  <c r="AD521"/>
  <c r="AC521"/>
  <c r="U521"/>
  <c r="AU521" s="1"/>
  <c r="AX521" s="1"/>
  <c r="Q521"/>
  <c r="S521" s="1"/>
  <c r="V521" s="1"/>
  <c r="AU520"/>
  <c r="AX520" s="1"/>
  <c r="AK520"/>
  <c r="AV520" s="1"/>
  <c r="AD520"/>
  <c r="AL520" s="1"/>
  <c r="AC520"/>
  <c r="U520"/>
  <c r="Q520"/>
  <c r="S520" s="1"/>
  <c r="V520" s="1"/>
  <c r="AK519"/>
  <c r="AD519"/>
  <c r="AC519"/>
  <c r="U519"/>
  <c r="AU519" s="1"/>
  <c r="Q519"/>
  <c r="S519" s="1"/>
  <c r="V519" s="1"/>
  <c r="AZ518"/>
  <c r="AC518"/>
  <c r="AQ517"/>
  <c r="AK517"/>
  <c r="AV517" s="1"/>
  <c r="AD517"/>
  <c r="AL517" s="1"/>
  <c r="AC517"/>
  <c r="U517"/>
  <c r="AU517" s="1"/>
  <c r="AX517" s="1"/>
  <c r="Q517"/>
  <c r="S517" s="1"/>
  <c r="V517" s="1"/>
  <c r="AZ516"/>
  <c r="AC516"/>
  <c r="AK515"/>
  <c r="AD515"/>
  <c r="AC515"/>
  <c r="U515"/>
  <c r="AU515" s="1"/>
  <c r="Q515"/>
  <c r="S515" s="1"/>
  <c r="V515" s="1"/>
  <c r="AZ514"/>
  <c r="AC514"/>
  <c r="AU513"/>
  <c r="AX513" s="1"/>
  <c r="AL513"/>
  <c r="AK513"/>
  <c r="AV513" s="1"/>
  <c r="AD513"/>
  <c r="AC513"/>
  <c r="U513"/>
  <c r="Q513"/>
  <c r="S513" s="1"/>
  <c r="V513" s="1"/>
  <c r="AK512"/>
  <c r="AQ512" s="1"/>
  <c r="AZ512" s="1"/>
  <c r="AD512"/>
  <c r="AC512"/>
  <c r="V512"/>
  <c r="U512"/>
  <c r="AU512" s="1"/>
  <c r="AZ511"/>
  <c r="AC511"/>
  <c r="AU510"/>
  <c r="AK510"/>
  <c r="AV510" s="1"/>
  <c r="AW510" s="1"/>
  <c r="AD510"/>
  <c r="AL510" s="1"/>
  <c r="AC510"/>
  <c r="U510"/>
  <c r="Q510"/>
  <c r="S510" s="1"/>
  <c r="V510" s="1"/>
  <c r="AZ509"/>
  <c r="AC509"/>
  <c r="AZ508"/>
  <c r="AC508"/>
  <c r="AD507"/>
  <c r="AC507"/>
  <c r="W507"/>
  <c r="U507"/>
  <c r="AU507" s="1"/>
  <c r="Q507"/>
  <c r="S507" s="1"/>
  <c r="V507" s="1"/>
  <c r="AZ506"/>
  <c r="AC506"/>
  <c r="AZ505"/>
  <c r="AC505"/>
  <c r="AT504"/>
  <c r="AP504"/>
  <c r="AO504"/>
  <c r="AN504"/>
  <c r="AM504"/>
  <c r="AJ504"/>
  <c r="AI504"/>
  <c r="AH504"/>
  <c r="AG504"/>
  <c r="AF504"/>
  <c r="AE504"/>
  <c r="AB504"/>
  <c r="AA504"/>
  <c r="Y504"/>
  <c r="X504"/>
  <c r="T504"/>
  <c r="P504"/>
  <c r="O504"/>
  <c r="N504"/>
  <c r="M504"/>
  <c r="L504"/>
  <c r="AK503"/>
  <c r="AQ503" s="1"/>
  <c r="AD503"/>
  <c r="AC503"/>
  <c r="V503"/>
  <c r="U503"/>
  <c r="AU503" s="1"/>
  <c r="AZ502"/>
  <c r="AC502"/>
  <c r="AU501"/>
  <c r="AX501" s="1"/>
  <c r="AK501"/>
  <c r="AV501" s="1"/>
  <c r="AD501"/>
  <c r="AL501" s="1"/>
  <c r="AC501"/>
  <c r="U501"/>
  <c r="Q501"/>
  <c r="S501" s="1"/>
  <c r="V501" s="1"/>
  <c r="AZ500"/>
  <c r="AC500"/>
  <c r="AV499"/>
  <c r="AQ499"/>
  <c r="AZ499" s="1"/>
  <c r="AK499"/>
  <c r="AD499"/>
  <c r="AC499"/>
  <c r="U499"/>
  <c r="AU499" s="1"/>
  <c r="AX499" s="1"/>
  <c r="Q499"/>
  <c r="S499" s="1"/>
  <c r="V499" s="1"/>
  <c r="AZ498"/>
  <c r="AC498"/>
  <c r="AU497"/>
  <c r="AX497" s="1"/>
  <c r="AK497"/>
  <c r="AV497" s="1"/>
  <c r="AD497"/>
  <c r="AC497"/>
  <c r="U497"/>
  <c r="Q497"/>
  <c r="S497" s="1"/>
  <c r="V497" s="1"/>
  <c r="AZ496"/>
  <c r="AC496"/>
  <c r="AK495"/>
  <c r="AD495"/>
  <c r="AC495"/>
  <c r="U495"/>
  <c r="AU495" s="1"/>
  <c r="Q495"/>
  <c r="S495" s="1"/>
  <c r="V495" s="1"/>
  <c r="AZ494"/>
  <c r="AC494"/>
  <c r="AU493"/>
  <c r="AX493" s="1"/>
  <c r="AK493"/>
  <c r="AV493" s="1"/>
  <c r="AD493"/>
  <c r="AL493" s="1"/>
  <c r="AC493"/>
  <c r="U493"/>
  <c r="Q493"/>
  <c r="S493" s="1"/>
  <c r="V493" s="1"/>
  <c r="AZ492"/>
  <c r="AC492"/>
  <c r="AZ491"/>
  <c r="AC491"/>
  <c r="AK490"/>
  <c r="AD490"/>
  <c r="AC490"/>
  <c r="U490"/>
  <c r="AU490" s="1"/>
  <c r="Q490"/>
  <c r="S490" s="1"/>
  <c r="V490" s="1"/>
  <c r="AZ489"/>
  <c r="AC489"/>
  <c r="AZ488"/>
  <c r="AC488"/>
  <c r="AT487"/>
  <c r="AP487"/>
  <c r="AO487"/>
  <c r="AN487"/>
  <c r="AM487"/>
  <c r="AJ487"/>
  <c r="AI487"/>
  <c r="AH487"/>
  <c r="AG487"/>
  <c r="AF487"/>
  <c r="AE487"/>
  <c r="AB487"/>
  <c r="AA487"/>
  <c r="Y487"/>
  <c r="X487"/>
  <c r="W487"/>
  <c r="T487"/>
  <c r="P487"/>
  <c r="O487"/>
  <c r="N487"/>
  <c r="Q487" s="1"/>
  <c r="M487"/>
  <c r="L487"/>
  <c r="AK486"/>
  <c r="AD486"/>
  <c r="AC486"/>
  <c r="U486"/>
  <c r="AU486" s="1"/>
  <c r="Q486"/>
  <c r="S486" s="1"/>
  <c r="V486" s="1"/>
  <c r="AV485"/>
  <c r="AW485" s="1"/>
  <c r="AK485"/>
  <c r="AQ485" s="1"/>
  <c r="AZ485" s="1"/>
  <c r="AD485"/>
  <c r="AC485"/>
  <c r="U485"/>
  <c r="AU485" s="1"/>
  <c r="Q485"/>
  <c r="S485" s="1"/>
  <c r="V485" s="1"/>
  <c r="AZ484"/>
  <c r="AC484"/>
  <c r="AK483"/>
  <c r="AV483" s="1"/>
  <c r="AD483"/>
  <c r="AC483"/>
  <c r="U483"/>
  <c r="AU483" s="1"/>
  <c r="AX483" s="1"/>
  <c r="S483"/>
  <c r="V483" s="1"/>
  <c r="Q483"/>
  <c r="AZ482"/>
  <c r="AC482"/>
  <c r="AK481"/>
  <c r="AD481"/>
  <c r="AC481"/>
  <c r="U481"/>
  <c r="AU481" s="1"/>
  <c r="Q481"/>
  <c r="S481" s="1"/>
  <c r="V481" s="1"/>
  <c r="AZ480"/>
  <c r="AC480"/>
  <c r="AK479"/>
  <c r="AQ479" s="1"/>
  <c r="AD479"/>
  <c r="AC479"/>
  <c r="U479"/>
  <c r="AU479" s="1"/>
  <c r="S479"/>
  <c r="V479" s="1"/>
  <c r="Q479"/>
  <c r="AZ478"/>
  <c r="AC478"/>
  <c r="AZ477"/>
  <c r="AC477"/>
  <c r="AG476"/>
  <c r="AK476" s="1"/>
  <c r="AK473" s="1"/>
  <c r="AD476"/>
  <c r="AC476"/>
  <c r="U476"/>
  <c r="AU476" s="1"/>
  <c r="S476"/>
  <c r="V476" s="1"/>
  <c r="Q476"/>
  <c r="AZ475"/>
  <c r="AC475"/>
  <c r="AZ474"/>
  <c r="AC474"/>
  <c r="AT473"/>
  <c r="AP473"/>
  <c r="AO473"/>
  <c r="AN473"/>
  <c r="AM473"/>
  <c r="AJ473"/>
  <c r="AI473"/>
  <c r="AH473"/>
  <c r="AG473"/>
  <c r="AF473"/>
  <c r="AE473"/>
  <c r="AB473"/>
  <c r="AC473" s="1"/>
  <c r="AA473"/>
  <c r="Y473"/>
  <c r="X473"/>
  <c r="W473"/>
  <c r="T473"/>
  <c r="P473"/>
  <c r="O473"/>
  <c r="N473"/>
  <c r="M473"/>
  <c r="L473"/>
  <c r="AV472"/>
  <c r="AQ472"/>
  <c r="AZ472" s="1"/>
  <c r="AK472"/>
  <c r="AD472"/>
  <c r="AC472"/>
  <c r="U472"/>
  <c r="AU472" s="1"/>
  <c r="AX472" s="1"/>
  <c r="Q472"/>
  <c r="S472" s="1"/>
  <c r="V472" s="1"/>
  <c r="AU471"/>
  <c r="AK471"/>
  <c r="AV471" s="1"/>
  <c r="AW471" s="1"/>
  <c r="AD471"/>
  <c r="AL471" s="1"/>
  <c r="AC471"/>
  <c r="U471"/>
  <c r="Q471"/>
  <c r="S471" s="1"/>
  <c r="V471" s="1"/>
  <c r="AZ470"/>
  <c r="AC470"/>
  <c r="AV469"/>
  <c r="AW469" s="1"/>
  <c r="AK469"/>
  <c r="AQ469" s="1"/>
  <c r="AZ469" s="1"/>
  <c r="AD469"/>
  <c r="AC469"/>
  <c r="U469"/>
  <c r="AU469" s="1"/>
  <c r="Q469"/>
  <c r="S469" s="1"/>
  <c r="V469" s="1"/>
  <c r="AZ468"/>
  <c r="AC468"/>
  <c r="AK467"/>
  <c r="AV467" s="1"/>
  <c r="AD467"/>
  <c r="AC467"/>
  <c r="U467"/>
  <c r="AU467" s="1"/>
  <c r="AX467" s="1"/>
  <c r="S467"/>
  <c r="V467" s="1"/>
  <c r="Q467"/>
  <c r="AZ466"/>
  <c r="AC466"/>
  <c r="AK465"/>
  <c r="AD465"/>
  <c r="AC465"/>
  <c r="U465"/>
  <c r="AU465" s="1"/>
  <c r="Q465"/>
  <c r="S465" s="1"/>
  <c r="V465" s="1"/>
  <c r="AZ464"/>
  <c r="AC464"/>
  <c r="AZ463"/>
  <c r="AC463"/>
  <c r="AK462"/>
  <c r="AV462" s="1"/>
  <c r="AD462"/>
  <c r="AC462"/>
  <c r="U462"/>
  <c r="AU462" s="1"/>
  <c r="S462"/>
  <c r="V462" s="1"/>
  <c r="Q462"/>
  <c r="AZ461"/>
  <c r="AC461"/>
  <c r="AK460"/>
  <c r="AD460"/>
  <c r="AC460"/>
  <c r="U460"/>
  <c r="AU460" s="1"/>
  <c r="Q460"/>
  <c r="S460" s="1"/>
  <c r="V460" s="1"/>
  <c r="AZ459"/>
  <c r="AC459"/>
  <c r="AZ458"/>
  <c r="AC458"/>
  <c r="AT457"/>
  <c r="AP457"/>
  <c r="AO457"/>
  <c r="AN457"/>
  <c r="AN443" s="1"/>
  <c r="AM457"/>
  <c r="AJ457"/>
  <c r="AH457"/>
  <c r="AG457"/>
  <c r="AF457"/>
  <c r="AE457"/>
  <c r="AB457"/>
  <c r="AC457" s="1"/>
  <c r="AA457"/>
  <c r="Y457"/>
  <c r="X457"/>
  <c r="W457"/>
  <c r="T457"/>
  <c r="P457"/>
  <c r="O457"/>
  <c r="N457"/>
  <c r="M457"/>
  <c r="L457"/>
  <c r="AZ456"/>
  <c r="AK456"/>
  <c r="AL456" s="1"/>
  <c r="AD456"/>
  <c r="AC456"/>
  <c r="U456"/>
  <c r="S456"/>
  <c r="V456" s="1"/>
  <c r="Q456"/>
  <c r="R456" s="1"/>
  <c r="AZ455"/>
  <c r="AC455"/>
  <c r="AZ454"/>
  <c r="AK454"/>
  <c r="AD454"/>
  <c r="AC454"/>
  <c r="U454"/>
  <c r="Q454"/>
  <c r="AZ453"/>
  <c r="AC453"/>
  <c r="AZ452"/>
  <c r="AK452"/>
  <c r="AL452" s="1"/>
  <c r="AD452"/>
  <c r="AC452"/>
  <c r="U452"/>
  <c r="S452"/>
  <c r="V452" s="1"/>
  <c r="Q452"/>
  <c r="R452" s="1"/>
  <c r="AZ451"/>
  <c r="AC451"/>
  <c r="AZ450"/>
  <c r="AK450"/>
  <c r="AD450"/>
  <c r="AC450"/>
  <c r="U450"/>
  <c r="Q450"/>
  <c r="AZ449"/>
  <c r="AC449"/>
  <c r="V449"/>
  <c r="U449"/>
  <c r="AZ448"/>
  <c r="AC448"/>
  <c r="AZ447"/>
  <c r="AK447"/>
  <c r="AL447" s="1"/>
  <c r="AD447"/>
  <c r="AC447"/>
  <c r="U447"/>
  <c r="S447"/>
  <c r="V447" s="1"/>
  <c r="Q447"/>
  <c r="R447" s="1"/>
  <c r="AZ446"/>
  <c r="AC446"/>
  <c r="AZ445"/>
  <c r="AC445"/>
  <c r="AT444"/>
  <c r="AP444"/>
  <c r="AP443" s="1"/>
  <c r="AO444"/>
  <c r="AN444"/>
  <c r="AM444"/>
  <c r="AJ444"/>
  <c r="AJ443" s="1"/>
  <c r="AI444"/>
  <c r="AH444"/>
  <c r="AG444"/>
  <c r="AF444"/>
  <c r="AF443" s="1"/>
  <c r="AE444"/>
  <c r="AB444"/>
  <c r="AA444"/>
  <c r="Y444"/>
  <c r="Y443" s="1"/>
  <c r="X444"/>
  <c r="W444"/>
  <c r="T444"/>
  <c r="P444"/>
  <c r="P443" s="1"/>
  <c r="O444"/>
  <c r="N444"/>
  <c r="M444"/>
  <c r="L444"/>
  <c r="L443" s="1"/>
  <c r="AM443"/>
  <c r="M443"/>
  <c r="AK442"/>
  <c r="AV442" s="1"/>
  <c r="AD442"/>
  <c r="AC442"/>
  <c r="U442"/>
  <c r="AU442" s="1"/>
  <c r="AX442" s="1"/>
  <c r="Q442"/>
  <c r="S442" s="1"/>
  <c r="V442" s="1"/>
  <c r="AZ441"/>
  <c r="AC441"/>
  <c r="AZ440"/>
  <c r="AC440"/>
  <c r="AK439"/>
  <c r="AD439"/>
  <c r="AC439"/>
  <c r="U439"/>
  <c r="AU439" s="1"/>
  <c r="Q439"/>
  <c r="S439" s="1"/>
  <c r="V439" s="1"/>
  <c r="AZ438"/>
  <c r="AC438"/>
  <c r="AV437"/>
  <c r="AL437"/>
  <c r="AK437"/>
  <c r="AQ437" s="1"/>
  <c r="AD437"/>
  <c r="AC437"/>
  <c r="V437"/>
  <c r="U437"/>
  <c r="AU437" s="1"/>
  <c r="Q437"/>
  <c r="S437" s="1"/>
  <c r="AV436"/>
  <c r="AK436"/>
  <c r="AQ436" s="1"/>
  <c r="AD436"/>
  <c r="AC436"/>
  <c r="U436"/>
  <c r="AU436" s="1"/>
  <c r="S436"/>
  <c r="V436" s="1"/>
  <c r="Q436"/>
  <c r="AZ435"/>
  <c r="AC435"/>
  <c r="AK434"/>
  <c r="AV434" s="1"/>
  <c r="AD434"/>
  <c r="AC434"/>
  <c r="U434"/>
  <c r="AU434" s="1"/>
  <c r="Q434"/>
  <c r="S434" s="1"/>
  <c r="V434" s="1"/>
  <c r="AZ433"/>
  <c r="AC433"/>
  <c r="AK432"/>
  <c r="AD432"/>
  <c r="AL432" s="1"/>
  <c r="AC432"/>
  <c r="U432"/>
  <c r="AU432" s="1"/>
  <c r="Q432"/>
  <c r="S432" s="1"/>
  <c r="V432" s="1"/>
  <c r="AZ431"/>
  <c r="AC431"/>
  <c r="AK430"/>
  <c r="AQ430" s="1"/>
  <c r="AS430" s="1"/>
  <c r="AY430" s="1"/>
  <c r="AD430"/>
  <c r="AC430"/>
  <c r="U430"/>
  <c r="AU430" s="1"/>
  <c r="Q430"/>
  <c r="S430" s="1"/>
  <c r="V430" s="1"/>
  <c r="AK429"/>
  <c r="AD429"/>
  <c r="AC429"/>
  <c r="U429"/>
  <c r="AU429" s="1"/>
  <c r="Q429"/>
  <c r="S429" s="1"/>
  <c r="V429" s="1"/>
  <c r="AK428"/>
  <c r="AD428"/>
  <c r="AC428"/>
  <c r="U428"/>
  <c r="AU428" s="1"/>
  <c r="S428"/>
  <c r="V428" s="1"/>
  <c r="Q428"/>
  <c r="AZ427"/>
  <c r="AC427"/>
  <c r="AV426"/>
  <c r="AK426"/>
  <c r="AQ426" s="1"/>
  <c r="AZ426" s="1"/>
  <c r="AD426"/>
  <c r="AC426"/>
  <c r="U426"/>
  <c r="AU426" s="1"/>
  <c r="Q426"/>
  <c r="S426" s="1"/>
  <c r="V426" s="1"/>
  <c r="AV425"/>
  <c r="AK425"/>
  <c r="AQ425" s="1"/>
  <c r="AD425"/>
  <c r="AC425"/>
  <c r="U425"/>
  <c r="AU425" s="1"/>
  <c r="AX425" s="1"/>
  <c r="S425"/>
  <c r="V425" s="1"/>
  <c r="Q425"/>
  <c r="AZ424"/>
  <c r="AC424"/>
  <c r="AV423"/>
  <c r="AK423"/>
  <c r="AQ423" s="1"/>
  <c r="AZ423" s="1"/>
  <c r="AD423"/>
  <c r="AC423"/>
  <c r="U423"/>
  <c r="AU423" s="1"/>
  <c r="Q423"/>
  <c r="S423" s="1"/>
  <c r="V423" s="1"/>
  <c r="AZ422"/>
  <c r="AC422"/>
  <c r="AZ421"/>
  <c r="AC421"/>
  <c r="AK420"/>
  <c r="AV420" s="1"/>
  <c r="AW420" s="1"/>
  <c r="AD420"/>
  <c r="AC420"/>
  <c r="U420"/>
  <c r="AU420" s="1"/>
  <c r="S420"/>
  <c r="V420" s="1"/>
  <c r="Q420"/>
  <c r="AZ419"/>
  <c r="AC419"/>
  <c r="AZ418"/>
  <c r="AC418"/>
  <c r="AT417"/>
  <c r="AP417"/>
  <c r="AO417"/>
  <c r="AO416" s="1"/>
  <c r="AN417"/>
  <c r="AM417"/>
  <c r="AJ417"/>
  <c r="AJ416" s="1"/>
  <c r="AI417"/>
  <c r="AI416" s="1"/>
  <c r="AH417"/>
  <c r="AG417"/>
  <c r="AG416" s="1"/>
  <c r="AF417"/>
  <c r="AF416" s="1"/>
  <c r="AE417"/>
  <c r="AE416" s="1"/>
  <c r="AB417"/>
  <c r="AC417" s="1"/>
  <c r="AA417"/>
  <c r="AA416" s="1"/>
  <c r="Y417"/>
  <c r="X417"/>
  <c r="W417"/>
  <c r="T417"/>
  <c r="U417" s="1"/>
  <c r="AU417" s="1"/>
  <c r="P417"/>
  <c r="P416" s="1"/>
  <c r="O417"/>
  <c r="O416" s="1"/>
  <c r="N417"/>
  <c r="M417"/>
  <c r="L417"/>
  <c r="AP416"/>
  <c r="AN416"/>
  <c r="AH416"/>
  <c r="AB416"/>
  <c r="AC416" s="1"/>
  <c r="Y416"/>
  <c r="X416"/>
  <c r="W416"/>
  <c r="L416"/>
  <c r="AK415"/>
  <c r="AQ415" s="1"/>
  <c r="AZ415" s="1"/>
  <c r="AD415"/>
  <c r="AC415"/>
  <c r="U415"/>
  <c r="AU415" s="1"/>
  <c r="Q415"/>
  <c r="AZ414"/>
  <c r="AC414"/>
  <c r="AD413"/>
  <c r="AC413"/>
  <c r="X413"/>
  <c r="U413"/>
  <c r="AU413" s="1"/>
  <c r="Q413"/>
  <c r="R413" s="1"/>
  <c r="AU412"/>
  <c r="AK412"/>
  <c r="AV412" s="1"/>
  <c r="AD412"/>
  <c r="AC412"/>
  <c r="U412"/>
  <c r="Q412"/>
  <c r="S412" s="1"/>
  <c r="V412" s="1"/>
  <c r="AZ411"/>
  <c r="AC411"/>
  <c r="AU410"/>
  <c r="AL410"/>
  <c r="AK410"/>
  <c r="AV410" s="1"/>
  <c r="AD410"/>
  <c r="AC410"/>
  <c r="U410"/>
  <c r="Q410"/>
  <c r="S410" s="1"/>
  <c r="V410" s="1"/>
  <c r="AZ409"/>
  <c r="AC409"/>
  <c r="AK408"/>
  <c r="AL408" s="1"/>
  <c r="AD408"/>
  <c r="AC408"/>
  <c r="U408"/>
  <c r="AU408" s="1"/>
  <c r="Q408"/>
  <c r="S408" s="1"/>
  <c r="V408" s="1"/>
  <c r="AU407"/>
  <c r="AL407"/>
  <c r="AK407"/>
  <c r="AV407" s="1"/>
  <c r="AD407"/>
  <c r="AC407"/>
  <c r="V407"/>
  <c r="U407"/>
  <c r="S407"/>
  <c r="Q407"/>
  <c r="AZ406"/>
  <c r="AC406"/>
  <c r="AK405"/>
  <c r="AL405" s="1"/>
  <c r="AD405"/>
  <c r="AC405"/>
  <c r="U405"/>
  <c r="AU405" s="1"/>
  <c r="Q405"/>
  <c r="S405" s="1"/>
  <c r="V405" s="1"/>
  <c r="AU404"/>
  <c r="AL404"/>
  <c r="AK404"/>
  <c r="AV404" s="1"/>
  <c r="AD404"/>
  <c r="AC404"/>
  <c r="V404"/>
  <c r="U404"/>
  <c r="S404"/>
  <c r="Q404"/>
  <c r="AZ403"/>
  <c r="AC403"/>
  <c r="AK402"/>
  <c r="AL402" s="1"/>
  <c r="AD402"/>
  <c r="AC402"/>
  <c r="U402"/>
  <c r="AU402" s="1"/>
  <c r="Q402"/>
  <c r="S402" s="1"/>
  <c r="V402" s="1"/>
  <c r="AZ401"/>
  <c r="AC401"/>
  <c r="AZ400"/>
  <c r="AC400"/>
  <c r="AU399"/>
  <c r="AL399"/>
  <c r="AK399"/>
  <c r="AV399" s="1"/>
  <c r="AD399"/>
  <c r="AC399"/>
  <c r="V399"/>
  <c r="U399"/>
  <c r="S399"/>
  <c r="Q399"/>
  <c r="AV398"/>
  <c r="AK398"/>
  <c r="AL398" s="1"/>
  <c r="AD398"/>
  <c r="AC398"/>
  <c r="U398"/>
  <c r="AU398" s="1"/>
  <c r="Q398"/>
  <c r="S398" s="1"/>
  <c r="V398" s="1"/>
  <c r="AZ397"/>
  <c r="AC397"/>
  <c r="AZ396"/>
  <c r="AC396"/>
  <c r="AT395"/>
  <c r="AP395"/>
  <c r="AO395"/>
  <c r="AN395"/>
  <c r="AM395"/>
  <c r="AJ395"/>
  <c r="AI395"/>
  <c r="AH395"/>
  <c r="AG395"/>
  <c r="AF395"/>
  <c r="AE395"/>
  <c r="AB395"/>
  <c r="AA395"/>
  <c r="Y395"/>
  <c r="W395"/>
  <c r="T395"/>
  <c r="Q395"/>
  <c r="P395"/>
  <c r="O395"/>
  <c r="N395"/>
  <c r="M395"/>
  <c r="AD395" s="1"/>
  <c r="L395"/>
  <c r="AK394"/>
  <c r="AL394" s="1"/>
  <c r="AD394"/>
  <c r="AC394"/>
  <c r="U394"/>
  <c r="AU394" s="1"/>
  <c r="Q394"/>
  <c r="AK393"/>
  <c r="AV393" s="1"/>
  <c r="AD393"/>
  <c r="AC393"/>
  <c r="U393"/>
  <c r="AU393" s="1"/>
  <c r="AX393" s="1"/>
  <c r="S393"/>
  <c r="V393" s="1"/>
  <c r="Q393"/>
  <c r="R393" s="1"/>
  <c r="AZ392"/>
  <c r="AC392"/>
  <c r="AU391"/>
  <c r="AQ391"/>
  <c r="AS391" s="1"/>
  <c r="AY391" s="1"/>
  <c r="AK391"/>
  <c r="AV391" s="1"/>
  <c r="AW391" s="1"/>
  <c r="AD391"/>
  <c r="AL391" s="1"/>
  <c r="AC391"/>
  <c r="U391"/>
  <c r="Q391"/>
  <c r="S391" s="1"/>
  <c r="V391" s="1"/>
  <c r="AZ390"/>
  <c r="AC390"/>
  <c r="V390"/>
  <c r="U390"/>
  <c r="AG389"/>
  <c r="AK389" s="1"/>
  <c r="AF389"/>
  <c r="AF374" s="1"/>
  <c r="AD389"/>
  <c r="AC389"/>
  <c r="U389"/>
  <c r="AU389" s="1"/>
  <c r="Q389"/>
  <c r="S389" s="1"/>
  <c r="V389" s="1"/>
  <c r="AK388"/>
  <c r="AV388" s="1"/>
  <c r="AD388"/>
  <c r="AC388"/>
  <c r="U388"/>
  <c r="AU388" s="1"/>
  <c r="Q388"/>
  <c r="S388" s="1"/>
  <c r="V388" s="1"/>
  <c r="AZ387"/>
  <c r="AC387"/>
  <c r="AU386"/>
  <c r="AX386" s="1"/>
  <c r="AL386"/>
  <c r="AK386"/>
  <c r="AV386" s="1"/>
  <c r="AD386"/>
  <c r="AC386"/>
  <c r="V386"/>
  <c r="U386"/>
  <c r="S386"/>
  <c r="Q386"/>
  <c r="AV385"/>
  <c r="AK385"/>
  <c r="AL385" s="1"/>
  <c r="AD385"/>
  <c r="AC385"/>
  <c r="U385"/>
  <c r="AU385" s="1"/>
  <c r="Q385"/>
  <c r="S385" s="1"/>
  <c r="V385" s="1"/>
  <c r="AZ384"/>
  <c r="AC384"/>
  <c r="AK383"/>
  <c r="AV383" s="1"/>
  <c r="AD383"/>
  <c r="AL383" s="1"/>
  <c r="AC383"/>
  <c r="U383"/>
  <c r="AU383" s="1"/>
  <c r="S383"/>
  <c r="V383" s="1"/>
  <c r="Q383"/>
  <c r="AK382"/>
  <c r="AD382"/>
  <c r="AC382"/>
  <c r="U382"/>
  <c r="AU382" s="1"/>
  <c r="Q382"/>
  <c r="S382" s="1"/>
  <c r="V382" s="1"/>
  <c r="AZ381"/>
  <c r="AC381"/>
  <c r="AL380"/>
  <c r="AK380"/>
  <c r="AV380" s="1"/>
  <c r="AD380"/>
  <c r="AC380"/>
  <c r="V380"/>
  <c r="U380"/>
  <c r="AU380" s="1"/>
  <c r="AX380" s="1"/>
  <c r="S380"/>
  <c r="Q380"/>
  <c r="AZ379"/>
  <c r="AC379"/>
  <c r="AZ378"/>
  <c r="AC378"/>
  <c r="AG377"/>
  <c r="AD377"/>
  <c r="AC377"/>
  <c r="U377"/>
  <c r="AU377" s="1"/>
  <c r="S377"/>
  <c r="V377" s="1"/>
  <c r="Q377"/>
  <c r="AZ376"/>
  <c r="AC376"/>
  <c r="AZ375"/>
  <c r="AC375"/>
  <c r="AT374"/>
  <c r="AP374"/>
  <c r="AO374"/>
  <c r="AN374"/>
  <c r="AM374"/>
  <c r="AJ374"/>
  <c r="AI374"/>
  <c r="AH374"/>
  <c r="AE374"/>
  <c r="AB374"/>
  <c r="AA374"/>
  <c r="Y374"/>
  <c r="X374"/>
  <c r="W374"/>
  <c r="T374"/>
  <c r="P374"/>
  <c r="O374"/>
  <c r="N374"/>
  <c r="M374"/>
  <c r="L374"/>
  <c r="AC374" s="1"/>
  <c r="AL373"/>
  <c r="AK373"/>
  <c r="AV373" s="1"/>
  <c r="AD373"/>
  <c r="AC373"/>
  <c r="Q373"/>
  <c r="R373" s="1"/>
  <c r="M373"/>
  <c r="U373" s="1"/>
  <c r="AU373" s="1"/>
  <c r="AX373" s="1"/>
  <c r="AZ372"/>
  <c r="AC372"/>
  <c r="AV371"/>
  <c r="AK371"/>
  <c r="AQ371" s="1"/>
  <c r="AZ371" s="1"/>
  <c r="AC371"/>
  <c r="R371"/>
  <c r="Q371"/>
  <c r="M371"/>
  <c r="AD371" s="1"/>
  <c r="AC370"/>
  <c r="Z370"/>
  <c r="Q370"/>
  <c r="R370" s="1"/>
  <c r="M370"/>
  <c r="AZ369"/>
  <c r="AC369"/>
  <c r="M369"/>
  <c r="AK368"/>
  <c r="AC368"/>
  <c r="Q368"/>
  <c r="M368"/>
  <c r="U368" s="1"/>
  <c r="AU368" s="1"/>
  <c r="AZ367"/>
  <c r="AC367"/>
  <c r="V367"/>
  <c r="U367"/>
  <c r="M367"/>
  <c r="AK366"/>
  <c r="AC366"/>
  <c r="Q366"/>
  <c r="M366"/>
  <c r="U366" s="1"/>
  <c r="AU366" s="1"/>
  <c r="AV365"/>
  <c r="AQ365"/>
  <c r="AS365" s="1"/>
  <c r="AY365" s="1"/>
  <c r="AK365"/>
  <c r="AC365"/>
  <c r="Q365"/>
  <c r="M365"/>
  <c r="AZ364"/>
  <c r="AC364"/>
  <c r="AK363"/>
  <c r="AC363"/>
  <c r="Q363"/>
  <c r="M363"/>
  <c r="U363" s="1"/>
  <c r="AU363" s="1"/>
  <c r="AK362"/>
  <c r="AV362" s="1"/>
  <c r="AC362"/>
  <c r="Q362"/>
  <c r="R362" s="1"/>
  <c r="M362"/>
  <c r="U362" s="1"/>
  <c r="AU362" s="1"/>
  <c r="AZ361"/>
  <c r="AC361"/>
  <c r="AK360"/>
  <c r="AC360"/>
  <c r="Q360"/>
  <c r="M360"/>
  <c r="U360" s="1"/>
  <c r="AU360" s="1"/>
  <c r="AZ359"/>
  <c r="AC359"/>
  <c r="V359"/>
  <c r="M359"/>
  <c r="U359" s="1"/>
  <c r="AK358"/>
  <c r="AC358"/>
  <c r="Q358"/>
  <c r="M358"/>
  <c r="U358" s="1"/>
  <c r="AU358" s="1"/>
  <c r="AZ357"/>
  <c r="AC357"/>
  <c r="V357"/>
  <c r="U357"/>
  <c r="M357"/>
  <c r="AZ356"/>
  <c r="AC356"/>
  <c r="M356"/>
  <c r="AK355"/>
  <c r="AV355" s="1"/>
  <c r="AC355"/>
  <c r="Q355"/>
  <c r="M355"/>
  <c r="AD355" s="1"/>
  <c r="AL355" s="1"/>
  <c r="AQ354"/>
  <c r="AK354"/>
  <c r="AV354" s="1"/>
  <c r="AC354"/>
  <c r="Q354"/>
  <c r="R354" s="1"/>
  <c r="M354"/>
  <c r="U354" s="1"/>
  <c r="AU354" s="1"/>
  <c r="AZ353"/>
  <c r="AC353"/>
  <c r="AZ352"/>
  <c r="AC352"/>
  <c r="AT351"/>
  <c r="AP351"/>
  <c r="AO351"/>
  <c r="AN351"/>
  <c r="AM351"/>
  <c r="AJ351"/>
  <c r="AI351"/>
  <c r="AH351"/>
  <c r="AG351"/>
  <c r="AF351"/>
  <c r="AE351"/>
  <c r="AB351"/>
  <c r="AA351"/>
  <c r="Y351"/>
  <c r="X351"/>
  <c r="W351"/>
  <c r="T351"/>
  <c r="P351"/>
  <c r="O351"/>
  <c r="N351"/>
  <c r="L351"/>
  <c r="AU350"/>
  <c r="AL350"/>
  <c r="AK350"/>
  <c r="AV350" s="1"/>
  <c r="AD350"/>
  <c r="AC350"/>
  <c r="V350"/>
  <c r="U350"/>
  <c r="S350"/>
  <c r="Q350"/>
  <c r="AZ349"/>
  <c r="AC349"/>
  <c r="AZ348"/>
  <c r="AK348"/>
  <c r="AC348"/>
  <c r="U348"/>
  <c r="Q348"/>
  <c r="S348" s="1"/>
  <c r="V348" s="1"/>
  <c r="AV347"/>
  <c r="AQ347"/>
  <c r="AR347" s="1"/>
  <c r="AK347"/>
  <c r="AD347"/>
  <c r="AC347"/>
  <c r="U347"/>
  <c r="AU347" s="1"/>
  <c r="AX347" s="1"/>
  <c r="Q347"/>
  <c r="S347" s="1"/>
  <c r="V347" s="1"/>
  <c r="AZ346"/>
  <c r="AC346"/>
  <c r="AU345"/>
  <c r="AX345" s="1"/>
  <c r="AK345"/>
  <c r="AV345" s="1"/>
  <c r="AD345"/>
  <c r="AC345"/>
  <c r="U345"/>
  <c r="Q345"/>
  <c r="S345" s="1"/>
  <c r="V345" s="1"/>
  <c r="AZ344"/>
  <c r="AC344"/>
  <c r="AV343"/>
  <c r="AQ343"/>
  <c r="AR343" s="1"/>
  <c r="AK343"/>
  <c r="AD343"/>
  <c r="AC343"/>
  <c r="U343"/>
  <c r="AU343" s="1"/>
  <c r="AX343" s="1"/>
  <c r="Q343"/>
  <c r="S343" s="1"/>
  <c r="V343" s="1"/>
  <c r="AK342"/>
  <c r="AV342" s="1"/>
  <c r="AD342"/>
  <c r="AL342" s="1"/>
  <c r="AC342"/>
  <c r="U342"/>
  <c r="AU342" s="1"/>
  <c r="AX342" s="1"/>
  <c r="Q342"/>
  <c r="S342" s="1"/>
  <c r="V342" s="1"/>
  <c r="AZ341"/>
  <c r="AC341"/>
  <c r="AV340"/>
  <c r="AQ340"/>
  <c r="AR340" s="1"/>
  <c r="AK340"/>
  <c r="AD340"/>
  <c r="AC340"/>
  <c r="U340"/>
  <c r="AU340" s="1"/>
  <c r="AX340" s="1"/>
  <c r="Q340"/>
  <c r="S340" s="1"/>
  <c r="V340" s="1"/>
  <c r="AZ339"/>
  <c r="AC339"/>
  <c r="AU338"/>
  <c r="AX338" s="1"/>
  <c r="AK338"/>
  <c r="AV338" s="1"/>
  <c r="AD338"/>
  <c r="AC338"/>
  <c r="U338"/>
  <c r="Q338"/>
  <c r="S338" s="1"/>
  <c r="V338" s="1"/>
  <c r="AZ337"/>
  <c r="AC337"/>
  <c r="AV336"/>
  <c r="AQ336"/>
  <c r="AR336" s="1"/>
  <c r="AK336"/>
  <c r="AD336"/>
  <c r="AC336"/>
  <c r="U336"/>
  <c r="AU336" s="1"/>
  <c r="AX336" s="1"/>
  <c r="Q336"/>
  <c r="S336" s="1"/>
  <c r="V336" s="1"/>
  <c r="AZ335"/>
  <c r="AC335"/>
  <c r="AZ334"/>
  <c r="AC334"/>
  <c r="AK333"/>
  <c r="AV333" s="1"/>
  <c r="AD333"/>
  <c r="AL333" s="1"/>
  <c r="AC333"/>
  <c r="U333"/>
  <c r="AU333" s="1"/>
  <c r="AX333" s="1"/>
  <c r="Q333"/>
  <c r="S333" s="1"/>
  <c r="V333" s="1"/>
  <c r="AK332"/>
  <c r="AQ332" s="1"/>
  <c r="AD332"/>
  <c r="AC332"/>
  <c r="U332"/>
  <c r="AU332" s="1"/>
  <c r="Q332"/>
  <c r="S332" s="1"/>
  <c r="V332" s="1"/>
  <c r="AZ331"/>
  <c r="AC331"/>
  <c r="AZ330"/>
  <c r="AC330"/>
  <c r="AT329"/>
  <c r="AP329"/>
  <c r="AO329"/>
  <c r="AN329"/>
  <c r="AM329"/>
  <c r="AK329"/>
  <c r="AJ329"/>
  <c r="AI329"/>
  <c r="AH329"/>
  <c r="AG329"/>
  <c r="AF329"/>
  <c r="AE329"/>
  <c r="AB329"/>
  <c r="AA329"/>
  <c r="Z329"/>
  <c r="Y329"/>
  <c r="X329"/>
  <c r="W329"/>
  <c r="U329"/>
  <c r="AU329" s="1"/>
  <c r="T329"/>
  <c r="P329"/>
  <c r="O329"/>
  <c r="N329"/>
  <c r="M329"/>
  <c r="L329"/>
  <c r="AC329" s="1"/>
  <c r="AL328"/>
  <c r="AK328"/>
  <c r="AV328" s="1"/>
  <c r="AD328"/>
  <c r="AC328"/>
  <c r="V328"/>
  <c r="U328"/>
  <c r="AU328" s="1"/>
  <c r="Q328"/>
  <c r="S328" s="1"/>
  <c r="AZ327"/>
  <c r="AC327"/>
  <c r="AK326"/>
  <c r="AV326" s="1"/>
  <c r="AD326"/>
  <c r="AC326"/>
  <c r="U326"/>
  <c r="AU326" s="1"/>
  <c r="AX326" s="1"/>
  <c r="Q326"/>
  <c r="S326" s="1"/>
  <c r="V326" s="1"/>
  <c r="AL325"/>
  <c r="AK325"/>
  <c r="AV325" s="1"/>
  <c r="AD325"/>
  <c r="AC325"/>
  <c r="V325"/>
  <c r="U325"/>
  <c r="AU325" s="1"/>
  <c r="AX325" s="1"/>
  <c r="S325"/>
  <c r="Q325"/>
  <c r="AZ324"/>
  <c r="AC324"/>
  <c r="AQ323"/>
  <c r="AO323"/>
  <c r="AK323"/>
  <c r="AV323" s="1"/>
  <c r="AD323"/>
  <c r="AC323"/>
  <c r="U323"/>
  <c r="AU323" s="1"/>
  <c r="S323"/>
  <c r="V323" s="1"/>
  <c r="Q323"/>
  <c r="AZ322"/>
  <c r="AC322"/>
  <c r="AK321"/>
  <c r="AV321" s="1"/>
  <c r="AD321"/>
  <c r="AC321"/>
  <c r="U321"/>
  <c r="AU321" s="1"/>
  <c r="Q321"/>
  <c r="S321" s="1"/>
  <c r="V321" s="1"/>
  <c r="AK320"/>
  <c r="AV320" s="1"/>
  <c r="AD320"/>
  <c r="AC320"/>
  <c r="U320"/>
  <c r="AU320" s="1"/>
  <c r="S320"/>
  <c r="V320" s="1"/>
  <c r="Q320"/>
  <c r="AZ319"/>
  <c r="AC319"/>
  <c r="AK318"/>
  <c r="AV318" s="1"/>
  <c r="AD318"/>
  <c r="AC318"/>
  <c r="U318"/>
  <c r="AU318" s="1"/>
  <c r="Q318"/>
  <c r="S318" s="1"/>
  <c r="V318" s="1"/>
  <c r="AK317"/>
  <c r="AV317" s="1"/>
  <c r="AD317"/>
  <c r="AC317"/>
  <c r="U317"/>
  <c r="AU317" s="1"/>
  <c r="S317"/>
  <c r="V317" s="1"/>
  <c r="Q317"/>
  <c r="AZ316"/>
  <c r="AC316"/>
  <c r="AK315"/>
  <c r="AV315" s="1"/>
  <c r="AD315"/>
  <c r="AC315"/>
  <c r="U315"/>
  <c r="AU315" s="1"/>
  <c r="Q315"/>
  <c r="S315" s="1"/>
  <c r="V315" s="1"/>
  <c r="AZ314"/>
  <c r="AC314"/>
  <c r="AZ313"/>
  <c r="AC313"/>
  <c r="AK312"/>
  <c r="AV312" s="1"/>
  <c r="AD312"/>
  <c r="AC312"/>
  <c r="U312"/>
  <c r="AU312" s="1"/>
  <c r="S312"/>
  <c r="V312" s="1"/>
  <c r="Q312"/>
  <c r="AZ311"/>
  <c r="AC311"/>
  <c r="AZ310"/>
  <c r="AC310"/>
  <c r="AT309"/>
  <c r="AP309"/>
  <c r="AO309"/>
  <c r="AO290" s="1"/>
  <c r="AN309"/>
  <c r="AM309"/>
  <c r="AJ309"/>
  <c r="AI309"/>
  <c r="AH309"/>
  <c r="AG309"/>
  <c r="AF309"/>
  <c r="AE309"/>
  <c r="AB309"/>
  <c r="AA309"/>
  <c r="Y309"/>
  <c r="X309"/>
  <c r="W309"/>
  <c r="T309"/>
  <c r="P309"/>
  <c r="O309"/>
  <c r="N309"/>
  <c r="Q309" s="1"/>
  <c r="M309"/>
  <c r="L309"/>
  <c r="AD308"/>
  <c r="AC308"/>
  <c r="W308"/>
  <c r="AK308" s="1"/>
  <c r="U308"/>
  <c r="AU308" s="1"/>
  <c r="Q308"/>
  <c r="AZ307"/>
  <c r="AC307"/>
  <c r="AV306"/>
  <c r="AK306"/>
  <c r="AQ306" s="1"/>
  <c r="AD306"/>
  <c r="AC306"/>
  <c r="U306"/>
  <c r="AU306" s="1"/>
  <c r="AX306" s="1"/>
  <c r="S306"/>
  <c r="V306" s="1"/>
  <c r="Q306"/>
  <c r="AD305"/>
  <c r="AC305"/>
  <c r="W305"/>
  <c r="AK305" s="1"/>
  <c r="AV305" s="1"/>
  <c r="U305"/>
  <c r="AU305" s="1"/>
  <c r="Q305"/>
  <c r="S305" s="1"/>
  <c r="V305" s="1"/>
  <c r="AZ304"/>
  <c r="AC304"/>
  <c r="AD303"/>
  <c r="AC303"/>
  <c r="W303"/>
  <c r="AK303" s="1"/>
  <c r="U303"/>
  <c r="AU303" s="1"/>
  <c r="Q303"/>
  <c r="AZ302"/>
  <c r="AC302"/>
  <c r="AQ301"/>
  <c r="AS301" s="1"/>
  <c r="AY301" s="1"/>
  <c r="AK301"/>
  <c r="AL301" s="1"/>
  <c r="AD301"/>
  <c r="AC301"/>
  <c r="U301"/>
  <c r="AU301" s="1"/>
  <c r="R301"/>
  <c r="Q301"/>
  <c r="S301" s="1"/>
  <c r="V301" s="1"/>
  <c r="AZ300"/>
  <c r="AC300"/>
  <c r="V300"/>
  <c r="U300"/>
  <c r="AD299"/>
  <c r="AC299"/>
  <c r="W299"/>
  <c r="AK299" s="1"/>
  <c r="AV299" s="1"/>
  <c r="U299"/>
  <c r="AU299" s="1"/>
  <c r="Q299"/>
  <c r="S299" s="1"/>
  <c r="V299" s="1"/>
  <c r="AZ298"/>
  <c r="AC298"/>
  <c r="AL297"/>
  <c r="AK297"/>
  <c r="AV297" s="1"/>
  <c r="AD297"/>
  <c r="AC297"/>
  <c r="U297"/>
  <c r="AU297" s="1"/>
  <c r="AX297" s="1"/>
  <c r="Q297"/>
  <c r="S297" s="1"/>
  <c r="V297" s="1"/>
  <c r="AZ296"/>
  <c r="AC296"/>
  <c r="AZ295"/>
  <c r="AC295"/>
  <c r="AV294"/>
  <c r="AQ294"/>
  <c r="AS294" s="1"/>
  <c r="AY294" s="1"/>
  <c r="AK294"/>
  <c r="AL294" s="1"/>
  <c r="AD294"/>
  <c r="AC294"/>
  <c r="U294"/>
  <c r="AU294" s="1"/>
  <c r="Q294"/>
  <c r="S294" s="1"/>
  <c r="V294" s="1"/>
  <c r="AZ293"/>
  <c r="AC293"/>
  <c r="AZ292"/>
  <c r="AC292"/>
  <c r="AT291"/>
  <c r="AP291"/>
  <c r="AO291"/>
  <c r="AN291"/>
  <c r="AM291"/>
  <c r="AJ291"/>
  <c r="AI291"/>
  <c r="AH291"/>
  <c r="AG291"/>
  <c r="AF291"/>
  <c r="AE291"/>
  <c r="AB291"/>
  <c r="AA291"/>
  <c r="Y291"/>
  <c r="X291"/>
  <c r="T291"/>
  <c r="P291"/>
  <c r="P290" s="1"/>
  <c r="O291"/>
  <c r="N291"/>
  <c r="M291"/>
  <c r="L291"/>
  <c r="AM290"/>
  <c r="Y290"/>
  <c r="AU289"/>
  <c r="AL289"/>
  <c r="AK289"/>
  <c r="AV289" s="1"/>
  <c r="AD289"/>
  <c r="AC289"/>
  <c r="U289"/>
  <c r="Q289"/>
  <c r="S289" s="1"/>
  <c r="V289" s="1"/>
  <c r="AZ288"/>
  <c r="AC288"/>
  <c r="AK287"/>
  <c r="AV287" s="1"/>
  <c r="AD287"/>
  <c r="AC287"/>
  <c r="U287"/>
  <c r="AU287" s="1"/>
  <c r="Q287"/>
  <c r="S287" s="1"/>
  <c r="V287" s="1"/>
  <c r="AU286"/>
  <c r="AK286"/>
  <c r="AV286" s="1"/>
  <c r="AD286"/>
  <c r="AC286"/>
  <c r="U286"/>
  <c r="Q286"/>
  <c r="S286" s="1"/>
  <c r="V286" s="1"/>
  <c r="AZ285"/>
  <c r="AC285"/>
  <c r="AK284"/>
  <c r="AV284" s="1"/>
  <c r="AD284"/>
  <c r="AC284"/>
  <c r="U284"/>
  <c r="AU284" s="1"/>
  <c r="Q284"/>
  <c r="S284" s="1"/>
  <c r="V284" s="1"/>
  <c r="AZ283"/>
  <c r="AC283"/>
  <c r="AU282"/>
  <c r="AQ282"/>
  <c r="AZ282" s="1"/>
  <c r="AK282"/>
  <c r="AV282" s="1"/>
  <c r="AW282" s="1"/>
  <c r="AD282"/>
  <c r="AL282" s="1"/>
  <c r="AC282"/>
  <c r="U282"/>
  <c r="Q282"/>
  <c r="S282" s="1"/>
  <c r="V282" s="1"/>
  <c r="AZ281"/>
  <c r="AC281"/>
  <c r="AQ280"/>
  <c r="AS280" s="1"/>
  <c r="AY280" s="1"/>
  <c r="AK280"/>
  <c r="AD280"/>
  <c r="AC280"/>
  <c r="U280"/>
  <c r="AU280" s="1"/>
  <c r="Q280"/>
  <c r="S280" s="1"/>
  <c r="V280" s="1"/>
  <c r="AU279"/>
  <c r="AX279" s="1"/>
  <c r="AQ279"/>
  <c r="AZ279" s="1"/>
  <c r="AK279"/>
  <c r="AV279" s="1"/>
  <c r="AD279"/>
  <c r="AL279" s="1"/>
  <c r="AC279"/>
  <c r="U279"/>
  <c r="Q279"/>
  <c r="S279" s="1"/>
  <c r="V279" s="1"/>
  <c r="AZ278"/>
  <c r="AC278"/>
  <c r="AQ277"/>
  <c r="AS277" s="1"/>
  <c r="AY277" s="1"/>
  <c r="AK277"/>
  <c r="AD277"/>
  <c r="AC277"/>
  <c r="U277"/>
  <c r="AU277" s="1"/>
  <c r="Q277"/>
  <c r="S277" s="1"/>
  <c r="V277" s="1"/>
  <c r="AZ276"/>
  <c r="AC276"/>
  <c r="AZ275"/>
  <c r="AC275"/>
  <c r="AU274"/>
  <c r="AX274" s="1"/>
  <c r="AQ274"/>
  <c r="AZ274" s="1"/>
  <c r="AK274"/>
  <c r="AV274" s="1"/>
  <c r="AD274"/>
  <c r="AL274" s="1"/>
  <c r="AC274"/>
  <c r="U274"/>
  <c r="Q274"/>
  <c r="S274" s="1"/>
  <c r="V274" s="1"/>
  <c r="AZ273"/>
  <c r="AC273"/>
  <c r="AZ272"/>
  <c r="AC272"/>
  <c r="AT271"/>
  <c r="AP271"/>
  <c r="AO271"/>
  <c r="AN271"/>
  <c r="AN270" s="1"/>
  <c r="AM271"/>
  <c r="AM270" s="1"/>
  <c r="AK271"/>
  <c r="AJ271"/>
  <c r="AI271"/>
  <c r="AI270" s="1"/>
  <c r="AH271"/>
  <c r="AG271"/>
  <c r="AF271"/>
  <c r="AE271"/>
  <c r="AE270" s="1"/>
  <c r="AB271"/>
  <c r="AC271" s="1"/>
  <c r="AA271"/>
  <c r="AA270" s="1"/>
  <c r="Y271"/>
  <c r="X271"/>
  <c r="W271"/>
  <c r="T271"/>
  <c r="Q271"/>
  <c r="P271"/>
  <c r="O271"/>
  <c r="N271"/>
  <c r="M271"/>
  <c r="M270" s="1"/>
  <c r="L271"/>
  <c r="AP270"/>
  <c r="AO270"/>
  <c r="AK270"/>
  <c r="AV270" s="1"/>
  <c r="AJ270"/>
  <c r="AH270"/>
  <c r="AG270"/>
  <c r="AF270"/>
  <c r="AC270"/>
  <c r="AB270"/>
  <c r="Y270"/>
  <c r="X270"/>
  <c r="W270"/>
  <c r="T270"/>
  <c r="P270"/>
  <c r="O270"/>
  <c r="N270"/>
  <c r="L270"/>
  <c r="AV269"/>
  <c r="AK269"/>
  <c r="AL269" s="1"/>
  <c r="AD269"/>
  <c r="AC269"/>
  <c r="U269"/>
  <c r="AU269" s="1"/>
  <c r="Q269"/>
  <c r="S269" s="1"/>
  <c r="V269" s="1"/>
  <c r="AZ268"/>
  <c r="AC268"/>
  <c r="AK267"/>
  <c r="AV267" s="1"/>
  <c r="AD267"/>
  <c r="AL267" s="1"/>
  <c r="AC267"/>
  <c r="U267"/>
  <c r="AU267" s="1"/>
  <c r="S267"/>
  <c r="V267" s="1"/>
  <c r="Q267"/>
  <c r="AK266"/>
  <c r="AD266"/>
  <c r="AC266"/>
  <c r="U266"/>
  <c r="AU266" s="1"/>
  <c r="Q266"/>
  <c r="S266" s="1"/>
  <c r="V266" s="1"/>
  <c r="AZ265"/>
  <c r="AC265"/>
  <c r="AL264"/>
  <c r="AK264"/>
  <c r="AV264" s="1"/>
  <c r="AD264"/>
  <c r="AC264"/>
  <c r="V264"/>
  <c r="U264"/>
  <c r="AU264" s="1"/>
  <c r="AX264" s="1"/>
  <c r="S264"/>
  <c r="Q264"/>
  <c r="AZ263"/>
  <c r="AC263"/>
  <c r="AK262"/>
  <c r="AV262" s="1"/>
  <c r="AD262"/>
  <c r="AC262"/>
  <c r="U262"/>
  <c r="AU262" s="1"/>
  <c r="Q262"/>
  <c r="S262" s="1"/>
  <c r="V262" s="1"/>
  <c r="AZ261"/>
  <c r="AC261"/>
  <c r="AK260"/>
  <c r="AV260" s="1"/>
  <c r="AD260"/>
  <c r="AC260"/>
  <c r="U260"/>
  <c r="AU260" s="1"/>
  <c r="AX260" s="1"/>
  <c r="S260"/>
  <c r="V260" s="1"/>
  <c r="Q260"/>
  <c r="AK259"/>
  <c r="AV259" s="1"/>
  <c r="AD259"/>
  <c r="AC259"/>
  <c r="U259"/>
  <c r="AU259" s="1"/>
  <c r="Q259"/>
  <c r="S259" s="1"/>
  <c r="V259" s="1"/>
  <c r="AZ258"/>
  <c r="AC258"/>
  <c r="AH257"/>
  <c r="AK257" s="1"/>
  <c r="AD257"/>
  <c r="AC257"/>
  <c r="U257"/>
  <c r="AU257" s="1"/>
  <c r="Q257"/>
  <c r="S257" s="1"/>
  <c r="V257" s="1"/>
  <c r="AZ256"/>
  <c r="AC256"/>
  <c r="AK255"/>
  <c r="AV255" s="1"/>
  <c r="AD255"/>
  <c r="AL255" s="1"/>
  <c r="AC255"/>
  <c r="U255"/>
  <c r="AU255" s="1"/>
  <c r="Q255"/>
  <c r="S255" s="1"/>
  <c r="V255" s="1"/>
  <c r="AZ254"/>
  <c r="AC254"/>
  <c r="AZ253"/>
  <c r="AC253"/>
  <c r="AK252"/>
  <c r="AV252" s="1"/>
  <c r="AD252"/>
  <c r="AC252"/>
  <c r="U252"/>
  <c r="AU252" s="1"/>
  <c r="Q252"/>
  <c r="S252" s="1"/>
  <c r="V252" s="1"/>
  <c r="AK251"/>
  <c r="AD251"/>
  <c r="AC251"/>
  <c r="U251"/>
  <c r="AU251" s="1"/>
  <c r="S251"/>
  <c r="V251" s="1"/>
  <c r="Q251"/>
  <c r="AZ250"/>
  <c r="AC250"/>
  <c r="AZ249"/>
  <c r="AC249"/>
  <c r="AT248"/>
  <c r="AP248"/>
  <c r="AO248"/>
  <c r="AN248"/>
  <c r="AM248"/>
  <c r="AJ248"/>
  <c r="AI248"/>
  <c r="AG248"/>
  <c r="AF248"/>
  <c r="AE248"/>
  <c r="AB248"/>
  <c r="AA248"/>
  <c r="Y248"/>
  <c r="X248"/>
  <c r="W248"/>
  <c r="T248"/>
  <c r="P248"/>
  <c r="O248"/>
  <c r="N248"/>
  <c r="M248"/>
  <c r="L248"/>
  <c r="AC248" s="1"/>
  <c r="AK247"/>
  <c r="AQ247" s="1"/>
  <c r="AS247" s="1"/>
  <c r="AY247" s="1"/>
  <c r="AD247"/>
  <c r="AC247"/>
  <c r="U247"/>
  <c r="AU247" s="1"/>
  <c r="Q247"/>
  <c r="S247" s="1"/>
  <c r="V247" s="1"/>
  <c r="AZ246"/>
  <c r="AC246"/>
  <c r="AK245"/>
  <c r="AD245"/>
  <c r="AC245"/>
  <c r="V245"/>
  <c r="U245"/>
  <c r="AU245" s="1"/>
  <c r="S245"/>
  <c r="Q245"/>
  <c r="AV244"/>
  <c r="AQ244"/>
  <c r="AS244" s="1"/>
  <c r="AY244" s="1"/>
  <c r="AK244"/>
  <c r="AL244" s="1"/>
  <c r="AD244"/>
  <c r="AC244"/>
  <c r="U244"/>
  <c r="AU244" s="1"/>
  <c r="AX244" s="1"/>
  <c r="Q244"/>
  <c r="S244" s="1"/>
  <c r="V244" s="1"/>
  <c r="AZ243"/>
  <c r="AC243"/>
  <c r="AU242"/>
  <c r="AX242" s="1"/>
  <c r="AK242"/>
  <c r="AV242" s="1"/>
  <c r="AD242"/>
  <c r="AL242" s="1"/>
  <c r="AC242"/>
  <c r="U242"/>
  <c r="Q242"/>
  <c r="S242" s="1"/>
  <c r="V242" s="1"/>
  <c r="AZ241"/>
  <c r="AC241"/>
  <c r="AK240"/>
  <c r="AV240" s="1"/>
  <c r="AW240" s="1"/>
  <c r="AD240"/>
  <c r="AC240"/>
  <c r="U240"/>
  <c r="AU240" s="1"/>
  <c r="Q240"/>
  <c r="S240" s="1"/>
  <c r="V240" s="1"/>
  <c r="AU239"/>
  <c r="AK239"/>
  <c r="AV239" s="1"/>
  <c r="AD239"/>
  <c r="AC239"/>
  <c r="U239"/>
  <c r="Q239"/>
  <c r="S239" s="1"/>
  <c r="V239" s="1"/>
  <c r="AZ238"/>
  <c r="AC238"/>
  <c r="AK237"/>
  <c r="AV237" s="1"/>
  <c r="AW237" s="1"/>
  <c r="AD237"/>
  <c r="AC237"/>
  <c r="U237"/>
  <c r="AU237" s="1"/>
  <c r="Q237"/>
  <c r="S237" s="1"/>
  <c r="V237" s="1"/>
  <c r="AU236"/>
  <c r="AK236"/>
  <c r="AV236" s="1"/>
  <c r="AD236"/>
  <c r="AC236"/>
  <c r="U236"/>
  <c r="Q236"/>
  <c r="S236" s="1"/>
  <c r="V236" s="1"/>
  <c r="AZ235"/>
  <c r="AC235"/>
  <c r="AK234"/>
  <c r="AV234" s="1"/>
  <c r="AW234" s="1"/>
  <c r="AD234"/>
  <c r="AC234"/>
  <c r="U234"/>
  <c r="AU234" s="1"/>
  <c r="Q234"/>
  <c r="S234" s="1"/>
  <c r="V234" s="1"/>
  <c r="AZ233"/>
  <c r="AC233"/>
  <c r="AU232"/>
  <c r="AX232" s="1"/>
  <c r="AK232"/>
  <c r="AV232" s="1"/>
  <c r="AD232"/>
  <c r="AL232" s="1"/>
  <c r="AC232"/>
  <c r="U232"/>
  <c r="Q232"/>
  <c r="S232" s="1"/>
  <c r="V232" s="1"/>
  <c r="AZ231"/>
  <c r="AC231"/>
  <c r="AZ230"/>
  <c r="AC230"/>
  <c r="AK229"/>
  <c r="AV229" s="1"/>
  <c r="AD229"/>
  <c r="AC229"/>
  <c r="U229"/>
  <c r="AU229" s="1"/>
  <c r="Q229"/>
  <c r="S229" s="1"/>
  <c r="V229" s="1"/>
  <c r="AK228"/>
  <c r="AD228"/>
  <c r="AC228"/>
  <c r="V228"/>
  <c r="U228"/>
  <c r="AU228" s="1"/>
  <c r="S228"/>
  <c r="Q228"/>
  <c r="AZ227"/>
  <c r="AC227"/>
  <c r="AZ226"/>
  <c r="AC226"/>
  <c r="AT225"/>
  <c r="AT221" s="1"/>
  <c r="AP225"/>
  <c r="AO225"/>
  <c r="AN226" s="1"/>
  <c r="AN225"/>
  <c r="AM225"/>
  <c r="AJ225"/>
  <c r="AI225"/>
  <c r="AH225"/>
  <c r="AG225"/>
  <c r="AF225"/>
  <c r="AE225"/>
  <c r="AB225"/>
  <c r="AA225"/>
  <c r="AD225" s="1"/>
  <c r="Y225"/>
  <c r="X225"/>
  <c r="W225"/>
  <c r="U225"/>
  <c r="T225"/>
  <c r="P225"/>
  <c r="O225"/>
  <c r="N225"/>
  <c r="Q225" s="1"/>
  <c r="S225" s="1"/>
  <c r="M225"/>
  <c r="L225"/>
  <c r="AK224"/>
  <c r="AV224" s="1"/>
  <c r="AW224" s="1"/>
  <c r="AD224"/>
  <c r="AC224"/>
  <c r="U224"/>
  <c r="AU224" s="1"/>
  <c r="Q224"/>
  <c r="S224" s="1"/>
  <c r="V224" s="1"/>
  <c r="AZ223"/>
  <c r="AC223"/>
  <c r="AZ222"/>
  <c r="AC222"/>
  <c r="AP221"/>
  <c r="AO221"/>
  <c r="AN221"/>
  <c r="AM221"/>
  <c r="AJ221"/>
  <c r="AI221"/>
  <c r="AH221"/>
  <c r="AG221"/>
  <c r="AF221"/>
  <c r="AE221"/>
  <c r="AB221"/>
  <c r="AC221" s="1"/>
  <c r="AA221"/>
  <c r="Y221"/>
  <c r="X221"/>
  <c r="W221"/>
  <c r="T221"/>
  <c r="U221" s="1"/>
  <c r="P221"/>
  <c r="O221"/>
  <c r="N221"/>
  <c r="Q221" s="1"/>
  <c r="M221"/>
  <c r="L221"/>
  <c r="AK220"/>
  <c r="AV220" s="1"/>
  <c r="AW220" s="1"/>
  <c r="AD220"/>
  <c r="AC220"/>
  <c r="U220"/>
  <c r="AU220" s="1"/>
  <c r="Q220"/>
  <c r="S220" s="1"/>
  <c r="V220" s="1"/>
  <c r="AZ219"/>
  <c r="AC219"/>
  <c r="AH218"/>
  <c r="AK218" s="1"/>
  <c r="AV218" s="1"/>
  <c r="AD218"/>
  <c r="AC218"/>
  <c r="U218"/>
  <c r="AU218" s="1"/>
  <c r="S218"/>
  <c r="V218" s="1"/>
  <c r="Q218"/>
  <c r="AZ217"/>
  <c r="AC217"/>
  <c r="AK216"/>
  <c r="AV216" s="1"/>
  <c r="AD216"/>
  <c r="AC216"/>
  <c r="U216"/>
  <c r="AU216" s="1"/>
  <c r="Q216"/>
  <c r="S216" s="1"/>
  <c r="V216" s="1"/>
  <c r="AZ215"/>
  <c r="AC215"/>
  <c r="AK214"/>
  <c r="AV214" s="1"/>
  <c r="AD214"/>
  <c r="AC214"/>
  <c r="U214"/>
  <c r="AU214" s="1"/>
  <c r="AX214" s="1"/>
  <c r="S214"/>
  <c r="V214" s="1"/>
  <c r="Q214"/>
  <c r="AK213"/>
  <c r="AV213" s="1"/>
  <c r="AD213"/>
  <c r="AC213"/>
  <c r="U213"/>
  <c r="AU213" s="1"/>
  <c r="Q213"/>
  <c r="S213" s="1"/>
  <c r="V213" s="1"/>
  <c r="AZ212"/>
  <c r="AC212"/>
  <c r="AK211"/>
  <c r="AV211" s="1"/>
  <c r="AD211"/>
  <c r="AL211" s="1"/>
  <c r="AC211"/>
  <c r="U211"/>
  <c r="AU211" s="1"/>
  <c r="AX211" s="1"/>
  <c r="Q211"/>
  <c r="S211" s="1"/>
  <c r="V211" s="1"/>
  <c r="AZ210"/>
  <c r="AC210"/>
  <c r="AK209"/>
  <c r="AD209"/>
  <c r="AC209"/>
  <c r="U209"/>
  <c r="AU209" s="1"/>
  <c r="Q209"/>
  <c r="S209" s="1"/>
  <c r="V209" s="1"/>
  <c r="AZ208"/>
  <c r="AC208"/>
  <c r="AU207"/>
  <c r="AX207" s="1"/>
  <c r="AL207"/>
  <c r="AK207"/>
  <c r="AV207" s="1"/>
  <c r="AD207"/>
  <c r="AC207"/>
  <c r="V207"/>
  <c r="U207"/>
  <c r="Q207"/>
  <c r="S207" s="1"/>
  <c r="AZ206"/>
  <c r="AC206"/>
  <c r="AZ205"/>
  <c r="AC205"/>
  <c r="AV204"/>
  <c r="AK204"/>
  <c r="AQ204" s="1"/>
  <c r="AS204" s="1"/>
  <c r="AY204" s="1"/>
  <c r="AD204"/>
  <c r="AC204"/>
  <c r="U204"/>
  <c r="AU204" s="1"/>
  <c r="Q204"/>
  <c r="S204" s="1"/>
  <c r="V204" s="1"/>
  <c r="AK203"/>
  <c r="AD203"/>
  <c r="AC203"/>
  <c r="U203"/>
  <c r="AU203" s="1"/>
  <c r="S203"/>
  <c r="V203" s="1"/>
  <c r="Q203"/>
  <c r="AZ202"/>
  <c r="AC202"/>
  <c r="AZ201"/>
  <c r="AC201"/>
  <c r="AT200"/>
  <c r="AP200"/>
  <c r="AO200"/>
  <c r="AO192" s="1"/>
  <c r="AN200"/>
  <c r="AM200"/>
  <c r="AJ200"/>
  <c r="AI200"/>
  <c r="AH200"/>
  <c r="AG200"/>
  <c r="AF200"/>
  <c r="AE200"/>
  <c r="AB200"/>
  <c r="AC200" s="1"/>
  <c r="AA200"/>
  <c r="Y200"/>
  <c r="X200"/>
  <c r="W200"/>
  <c r="T200"/>
  <c r="U200" s="1"/>
  <c r="AU200" s="1"/>
  <c r="P200"/>
  <c r="O200"/>
  <c r="N200"/>
  <c r="Q200" s="1"/>
  <c r="M200"/>
  <c r="L200"/>
  <c r="AZ199"/>
  <c r="AC199"/>
  <c r="AO198"/>
  <c r="AK198"/>
  <c r="AD198"/>
  <c r="AC198"/>
  <c r="U198"/>
  <c r="AU198" s="1"/>
  <c r="S198"/>
  <c r="V198" s="1"/>
  <c r="Q198"/>
  <c r="AZ197"/>
  <c r="AC197"/>
  <c r="AV196"/>
  <c r="AK196"/>
  <c r="AL196" s="1"/>
  <c r="AD196"/>
  <c r="AC196"/>
  <c r="U196"/>
  <c r="AU196" s="1"/>
  <c r="Q196"/>
  <c r="S196" s="1"/>
  <c r="V196" s="1"/>
  <c r="AZ195"/>
  <c r="AC195"/>
  <c r="AZ194"/>
  <c r="AC194"/>
  <c r="AT193"/>
  <c r="AP193"/>
  <c r="AP192" s="1"/>
  <c r="AO193"/>
  <c r="AN193"/>
  <c r="AM193"/>
  <c r="AJ193"/>
  <c r="AJ192" s="1"/>
  <c r="AI193"/>
  <c r="AH193"/>
  <c r="AG193"/>
  <c r="AF193"/>
  <c r="AF192" s="1"/>
  <c r="AE193"/>
  <c r="AB193"/>
  <c r="AA193"/>
  <c r="AD193" s="1"/>
  <c r="Y193"/>
  <c r="X193"/>
  <c r="W193"/>
  <c r="U193"/>
  <c r="T193"/>
  <c r="P193"/>
  <c r="O193"/>
  <c r="N193"/>
  <c r="M193"/>
  <c r="L193"/>
  <c r="AN192"/>
  <c r="AB192"/>
  <c r="W192"/>
  <c r="AG191"/>
  <c r="AK191" s="1"/>
  <c r="AL191" s="1"/>
  <c r="AD191"/>
  <c r="AC191"/>
  <c r="U191"/>
  <c r="AU191" s="1"/>
  <c r="Q191"/>
  <c r="S191" s="1"/>
  <c r="V191" s="1"/>
  <c r="AG190"/>
  <c r="AK190" s="1"/>
  <c r="AD190"/>
  <c r="AC190"/>
  <c r="U190"/>
  <c r="AU190" s="1"/>
  <c r="Q190"/>
  <c r="AZ189"/>
  <c r="AC189"/>
  <c r="AK188"/>
  <c r="AQ188" s="1"/>
  <c r="AD188"/>
  <c r="AC188"/>
  <c r="U188"/>
  <c r="AU188" s="1"/>
  <c r="Q188"/>
  <c r="S188" s="1"/>
  <c r="V188" s="1"/>
  <c r="AZ187"/>
  <c r="AC187"/>
  <c r="AK186"/>
  <c r="AV186" s="1"/>
  <c r="AD186"/>
  <c r="AL186" s="1"/>
  <c r="AC186"/>
  <c r="U186"/>
  <c r="AU186" s="1"/>
  <c r="Q186"/>
  <c r="S186" s="1"/>
  <c r="V186" s="1"/>
  <c r="AZ185"/>
  <c r="AC185"/>
  <c r="AK184"/>
  <c r="AD184"/>
  <c r="AC184"/>
  <c r="U184"/>
  <c r="AU184" s="1"/>
  <c r="Q184"/>
  <c r="S184" s="1"/>
  <c r="V184" s="1"/>
  <c r="AK183"/>
  <c r="AV183" s="1"/>
  <c r="AD183"/>
  <c r="AL183" s="1"/>
  <c r="AC183"/>
  <c r="U183"/>
  <c r="AU183" s="1"/>
  <c r="Q183"/>
  <c r="S183" s="1"/>
  <c r="V183" s="1"/>
  <c r="AZ182"/>
  <c r="AC182"/>
  <c r="AK181"/>
  <c r="AD181"/>
  <c r="AC181"/>
  <c r="U181"/>
  <c r="AU181" s="1"/>
  <c r="Q181"/>
  <c r="S181" s="1"/>
  <c r="V181" s="1"/>
  <c r="AK180"/>
  <c r="AV180" s="1"/>
  <c r="AD180"/>
  <c r="AL180" s="1"/>
  <c r="AC180"/>
  <c r="U180"/>
  <c r="AU180" s="1"/>
  <c r="Q180"/>
  <c r="S180" s="1"/>
  <c r="V180" s="1"/>
  <c r="AK179"/>
  <c r="AL179" s="1"/>
  <c r="AD179"/>
  <c r="AC179"/>
  <c r="U179"/>
  <c r="AU179" s="1"/>
  <c r="Q179"/>
  <c r="S179" s="1"/>
  <c r="V179" s="1"/>
  <c r="AZ178"/>
  <c r="AC178"/>
  <c r="AK177"/>
  <c r="AV177" s="1"/>
  <c r="AD177"/>
  <c r="AC177"/>
  <c r="U177"/>
  <c r="AU177" s="1"/>
  <c r="Q177"/>
  <c r="R177" s="1"/>
  <c r="AU176"/>
  <c r="AK176"/>
  <c r="AV176" s="1"/>
  <c r="AD176"/>
  <c r="AC176"/>
  <c r="U176"/>
  <c r="Q176"/>
  <c r="R176" s="1"/>
  <c r="AZ175"/>
  <c r="AC175"/>
  <c r="V175"/>
  <c r="U175"/>
  <c r="AZ174"/>
  <c r="AC174"/>
  <c r="AK173"/>
  <c r="AV173" s="1"/>
  <c r="AD173"/>
  <c r="AC173"/>
  <c r="U173"/>
  <c r="AU173" s="1"/>
  <c r="AX173" s="1"/>
  <c r="S173"/>
  <c r="V173" s="1"/>
  <c r="Q173"/>
  <c r="AZ172"/>
  <c r="AC172"/>
  <c r="AK171"/>
  <c r="AQ171" s="1"/>
  <c r="AD171"/>
  <c r="AC171"/>
  <c r="U171"/>
  <c r="AU171" s="1"/>
  <c r="Q171"/>
  <c r="S171" s="1"/>
  <c r="V171" s="1"/>
  <c r="AZ170"/>
  <c r="AC170"/>
  <c r="AZ169"/>
  <c r="AC169"/>
  <c r="AT168"/>
  <c r="AP168"/>
  <c r="AO168"/>
  <c r="AN168"/>
  <c r="AM170" s="1"/>
  <c r="AM168"/>
  <c r="AI168"/>
  <c r="AH168"/>
  <c r="AG168"/>
  <c r="AF168"/>
  <c r="AE168"/>
  <c r="AB168"/>
  <c r="AA168"/>
  <c r="Y168"/>
  <c r="X168"/>
  <c r="W168"/>
  <c r="T168"/>
  <c r="P168"/>
  <c r="O168"/>
  <c r="N168"/>
  <c r="Q168" s="1"/>
  <c r="S168" s="1"/>
  <c r="M168"/>
  <c r="L168"/>
  <c r="AM167"/>
  <c r="AM155" s="1"/>
  <c r="AM154" s="1"/>
  <c r="AK167"/>
  <c r="AD167"/>
  <c r="AC167"/>
  <c r="U167"/>
  <c r="AU167" s="1"/>
  <c r="Q167"/>
  <c r="S167" s="1"/>
  <c r="V167" s="1"/>
  <c r="AG166"/>
  <c r="AD166"/>
  <c r="AC166"/>
  <c r="U166"/>
  <c r="AU166" s="1"/>
  <c r="Q166"/>
  <c r="S166" s="1"/>
  <c r="V166" s="1"/>
  <c r="AZ165"/>
  <c r="AC165"/>
  <c r="AK164"/>
  <c r="AD164"/>
  <c r="AC164"/>
  <c r="U164"/>
  <c r="AU164" s="1"/>
  <c r="Q164"/>
  <c r="S164" s="1"/>
  <c r="V164" s="1"/>
  <c r="AZ163"/>
  <c r="AC163"/>
  <c r="AK162"/>
  <c r="AV162" s="1"/>
  <c r="AD162"/>
  <c r="AC162"/>
  <c r="U162"/>
  <c r="AU162" s="1"/>
  <c r="AX162" s="1"/>
  <c r="S162"/>
  <c r="V162" s="1"/>
  <c r="Q162"/>
  <c r="AK161"/>
  <c r="AD161"/>
  <c r="AC161"/>
  <c r="U161"/>
  <c r="AU161" s="1"/>
  <c r="Q161"/>
  <c r="S161" s="1"/>
  <c r="V161" s="1"/>
  <c r="AZ160"/>
  <c r="AC160"/>
  <c r="AL159"/>
  <c r="AK159"/>
  <c r="AV159" s="1"/>
  <c r="AD159"/>
  <c r="AC159"/>
  <c r="U159"/>
  <c r="AU159" s="1"/>
  <c r="AX159" s="1"/>
  <c r="Q159"/>
  <c r="R159" s="1"/>
  <c r="AY158"/>
  <c r="AR158"/>
  <c r="AQ158"/>
  <c r="AS158" s="1"/>
  <c r="AK158"/>
  <c r="AV158" s="1"/>
  <c r="AW158" s="1"/>
  <c r="AD158"/>
  <c r="AL158" s="1"/>
  <c r="AC158"/>
  <c r="U158"/>
  <c r="AU158" s="1"/>
  <c r="Q158"/>
  <c r="R158" s="1"/>
  <c r="AZ157"/>
  <c r="AC157"/>
  <c r="AC156"/>
  <c r="AT155"/>
  <c r="AP155"/>
  <c r="AP154" s="1"/>
  <c r="AO155"/>
  <c r="AN155"/>
  <c r="AN154" s="1"/>
  <c r="AJ155"/>
  <c r="AJ154" s="1"/>
  <c r="AI155"/>
  <c r="AI154" s="1"/>
  <c r="AH155"/>
  <c r="AF155"/>
  <c r="AF154" s="1"/>
  <c r="AE155"/>
  <c r="AB155"/>
  <c r="AA155"/>
  <c r="Y155"/>
  <c r="Y154" s="1"/>
  <c r="X155"/>
  <c r="W155"/>
  <c r="W154" s="1"/>
  <c r="T155"/>
  <c r="P155"/>
  <c r="O155"/>
  <c r="O154" s="1"/>
  <c r="N155"/>
  <c r="M155"/>
  <c r="M154" s="1"/>
  <c r="L155"/>
  <c r="AO154"/>
  <c r="AE154"/>
  <c r="AA154"/>
  <c r="X154"/>
  <c r="AV153"/>
  <c r="AL153"/>
  <c r="AK153"/>
  <c r="AQ153" s="1"/>
  <c r="AD153"/>
  <c r="AC153"/>
  <c r="U153"/>
  <c r="AU153" s="1"/>
  <c r="Q153"/>
  <c r="R153" s="1"/>
  <c r="AK152"/>
  <c r="AD152"/>
  <c r="AC152"/>
  <c r="U152"/>
  <c r="AU152" s="1"/>
  <c r="Q152"/>
  <c r="AZ151"/>
  <c r="AC151"/>
  <c r="AK150"/>
  <c r="AD150"/>
  <c r="AC150"/>
  <c r="U150"/>
  <c r="AU150" s="1"/>
  <c r="R150"/>
  <c r="Q150"/>
  <c r="S150" s="1"/>
  <c r="V150" s="1"/>
  <c r="AZ149"/>
  <c r="AC149"/>
  <c r="AV148"/>
  <c r="AK148"/>
  <c r="AD148"/>
  <c r="AC148"/>
  <c r="U148"/>
  <c r="AU148" s="1"/>
  <c r="AX148" s="1"/>
  <c r="S148"/>
  <c r="V148" s="1"/>
  <c r="Q148"/>
  <c r="AK147"/>
  <c r="AD147"/>
  <c r="AC147"/>
  <c r="U147"/>
  <c r="AU147" s="1"/>
  <c r="Q147"/>
  <c r="AZ146"/>
  <c r="AC146"/>
  <c r="AK145"/>
  <c r="AD145"/>
  <c r="AC145"/>
  <c r="U145"/>
  <c r="AU145" s="1"/>
  <c r="Q145"/>
  <c r="AZ144"/>
  <c r="AC144"/>
  <c r="AZ143"/>
  <c r="AC143"/>
  <c r="AK142"/>
  <c r="AQ142" s="1"/>
  <c r="AZ142" s="1"/>
  <c r="AD142"/>
  <c r="AC142"/>
  <c r="U142"/>
  <c r="AU142" s="1"/>
  <c r="Q142"/>
  <c r="S142" s="1"/>
  <c r="V142" s="1"/>
  <c r="AZ141"/>
  <c r="AC141"/>
  <c r="AK140"/>
  <c r="AD140"/>
  <c r="AC140"/>
  <c r="U140"/>
  <c r="AU140" s="1"/>
  <c r="Q140"/>
  <c r="R140" s="1"/>
  <c r="AZ139"/>
  <c r="AC139"/>
  <c r="AZ138"/>
  <c r="AC138"/>
  <c r="AT137"/>
  <c r="AP137"/>
  <c r="AO137"/>
  <c r="AO136" s="1"/>
  <c r="AN137"/>
  <c r="AN136" s="1"/>
  <c r="AM137"/>
  <c r="AM136" s="1"/>
  <c r="AJ137"/>
  <c r="AI137"/>
  <c r="AI136" s="1"/>
  <c r="AH137"/>
  <c r="AG137"/>
  <c r="AG136" s="1"/>
  <c r="AF137"/>
  <c r="AE137"/>
  <c r="AE136" s="1"/>
  <c r="AB137"/>
  <c r="AA137"/>
  <c r="Y137"/>
  <c r="X137"/>
  <c r="X136" s="1"/>
  <c r="W137"/>
  <c r="T137"/>
  <c r="P137"/>
  <c r="P136" s="1"/>
  <c r="O137"/>
  <c r="N137"/>
  <c r="M137"/>
  <c r="L137"/>
  <c r="AC137" s="1"/>
  <c r="AP136"/>
  <c r="AJ136"/>
  <c r="AH136"/>
  <c r="AF136"/>
  <c r="AB136"/>
  <c r="Y136"/>
  <c r="W136"/>
  <c r="O136"/>
  <c r="N136"/>
  <c r="M136"/>
  <c r="AL135"/>
  <c r="AK135"/>
  <c r="AV135" s="1"/>
  <c r="AD135"/>
  <c r="AC135"/>
  <c r="U135"/>
  <c r="AU135" s="1"/>
  <c r="Q135"/>
  <c r="R135" s="1"/>
  <c r="AZ134"/>
  <c r="AC134"/>
  <c r="AU133"/>
  <c r="AD133"/>
  <c r="AC133"/>
  <c r="U133"/>
  <c r="Q133"/>
  <c r="R133" s="1"/>
  <c r="N133"/>
  <c r="AK133" s="1"/>
  <c r="AZ132"/>
  <c r="AC132"/>
  <c r="AV131"/>
  <c r="AQ131"/>
  <c r="AZ131" s="1"/>
  <c r="AK131"/>
  <c r="AD131"/>
  <c r="AC131"/>
  <c r="U131"/>
  <c r="AU131" s="1"/>
  <c r="Q131"/>
  <c r="S131" s="1"/>
  <c r="V131" s="1"/>
  <c r="AZ130"/>
  <c r="AC130"/>
  <c r="AK129"/>
  <c r="AD129"/>
  <c r="AC129"/>
  <c r="U129"/>
  <c r="AU129" s="1"/>
  <c r="R129"/>
  <c r="Q129"/>
  <c r="S129" s="1"/>
  <c r="V129" s="1"/>
  <c r="AZ128"/>
  <c r="AC128"/>
  <c r="AZ127"/>
  <c r="AC127"/>
  <c r="AD126"/>
  <c r="AC126"/>
  <c r="U126"/>
  <c r="AU126" s="1"/>
  <c r="N126"/>
  <c r="AK126" s="1"/>
  <c r="AZ125"/>
  <c r="AC125"/>
  <c r="AZ124"/>
  <c r="AC124"/>
  <c r="AT123"/>
  <c r="AP123"/>
  <c r="AP122" s="1"/>
  <c r="AO123"/>
  <c r="AO122" s="1"/>
  <c r="AN123"/>
  <c r="AN122" s="1"/>
  <c r="AM123"/>
  <c r="AJ123"/>
  <c r="AJ122" s="1"/>
  <c r="AI123"/>
  <c r="AI122" s="1"/>
  <c r="AH123"/>
  <c r="AH122" s="1"/>
  <c r="AG123"/>
  <c r="AF123"/>
  <c r="AF122" s="1"/>
  <c r="AE123"/>
  <c r="AE122" s="1"/>
  <c r="AB123"/>
  <c r="AA123"/>
  <c r="Y123"/>
  <c r="Y122" s="1"/>
  <c r="X123"/>
  <c r="X122" s="1"/>
  <c r="W123"/>
  <c r="W122" s="1"/>
  <c r="T123"/>
  <c r="P123"/>
  <c r="O123"/>
  <c r="O122" s="1"/>
  <c r="M123"/>
  <c r="AD123" s="1"/>
  <c r="L123"/>
  <c r="AM122"/>
  <c r="AG122"/>
  <c r="AA122"/>
  <c r="T122"/>
  <c r="P122"/>
  <c r="L122"/>
  <c r="AO121"/>
  <c r="AO118" s="1"/>
  <c r="AM121"/>
  <c r="AG121"/>
  <c r="AK121" s="1"/>
  <c r="AD121"/>
  <c r="AC121"/>
  <c r="U121"/>
  <c r="AU121" s="1"/>
  <c r="Q121"/>
  <c r="S121" s="1"/>
  <c r="V121" s="1"/>
  <c r="AZ120"/>
  <c r="AC120"/>
  <c r="AZ119"/>
  <c r="AC119"/>
  <c r="AT118"/>
  <c r="AP118"/>
  <c r="AN118"/>
  <c r="AM118"/>
  <c r="AJ118"/>
  <c r="AI118"/>
  <c r="AH118"/>
  <c r="AF118"/>
  <c r="AE118"/>
  <c r="AB118"/>
  <c r="AA118"/>
  <c r="Y118"/>
  <c r="X118"/>
  <c r="W118"/>
  <c r="T118"/>
  <c r="P118"/>
  <c r="O118"/>
  <c r="N118"/>
  <c r="M118"/>
  <c r="L118"/>
  <c r="AO117"/>
  <c r="AG117"/>
  <c r="AD117"/>
  <c r="AC117"/>
  <c r="W117"/>
  <c r="U117"/>
  <c r="AU117" s="1"/>
  <c r="N117"/>
  <c r="N114" s="1"/>
  <c r="AZ116"/>
  <c r="AC116"/>
  <c r="AZ115"/>
  <c r="AC115"/>
  <c r="AP114"/>
  <c r="AO114"/>
  <c r="AN114"/>
  <c r="AM114"/>
  <c r="AJ114"/>
  <c r="AI114"/>
  <c r="AH114"/>
  <c r="AG114"/>
  <c r="AF114"/>
  <c r="AE114"/>
  <c r="AB114"/>
  <c r="Y114"/>
  <c r="X114"/>
  <c r="W114"/>
  <c r="T114"/>
  <c r="P114"/>
  <c r="O114"/>
  <c r="M114"/>
  <c r="L114"/>
  <c r="AK113"/>
  <c r="AL113" s="1"/>
  <c r="AD113"/>
  <c r="AC113"/>
  <c r="U113"/>
  <c r="AU113" s="1"/>
  <c r="R113"/>
  <c r="Q113"/>
  <c r="S113" s="1"/>
  <c r="V113" s="1"/>
  <c r="AZ112"/>
  <c r="AC112"/>
  <c r="AZ111"/>
  <c r="AC111"/>
  <c r="AP110"/>
  <c r="AO110"/>
  <c r="AN110"/>
  <c r="AM110"/>
  <c r="AJ110"/>
  <c r="AI110"/>
  <c r="AH110"/>
  <c r="AG110"/>
  <c r="AF110"/>
  <c r="AE110"/>
  <c r="AB110"/>
  <c r="AA110"/>
  <c r="Z110"/>
  <c r="Y110"/>
  <c r="X110"/>
  <c r="W110"/>
  <c r="T110"/>
  <c r="P110"/>
  <c r="P87" s="1"/>
  <c r="O110"/>
  <c r="N110"/>
  <c r="M110"/>
  <c r="L110"/>
  <c r="L87" s="1"/>
  <c r="AG109"/>
  <c r="AD109"/>
  <c r="AC109"/>
  <c r="W109"/>
  <c r="AK109" s="1"/>
  <c r="U109"/>
  <c r="AU109" s="1"/>
  <c r="S109"/>
  <c r="V109" s="1"/>
  <c r="Q109"/>
  <c r="AK108"/>
  <c r="AD108"/>
  <c r="AC108"/>
  <c r="U108"/>
  <c r="AU108" s="1"/>
  <c r="R108"/>
  <c r="Q108"/>
  <c r="S108" s="1"/>
  <c r="V108" s="1"/>
  <c r="AO107"/>
  <c r="AJ107"/>
  <c r="AG107"/>
  <c r="AD107"/>
  <c r="AC107"/>
  <c r="W107"/>
  <c r="U107"/>
  <c r="AU107" s="1"/>
  <c r="N107"/>
  <c r="Q107" s="1"/>
  <c r="AO106"/>
  <c r="AG106"/>
  <c r="AD106"/>
  <c r="AC106"/>
  <c r="W106"/>
  <c r="U106"/>
  <c r="AU106" s="1"/>
  <c r="R106"/>
  <c r="Q106"/>
  <c r="S106" s="1"/>
  <c r="V106" s="1"/>
  <c r="AO105"/>
  <c r="AJ105"/>
  <c r="AJ102" s="1"/>
  <c r="AG105"/>
  <c r="AG102" s="1"/>
  <c r="AD105"/>
  <c r="AC105"/>
  <c r="W105"/>
  <c r="U105"/>
  <c r="AU105" s="1"/>
  <c r="N105"/>
  <c r="Q105" s="1"/>
  <c r="AQ104"/>
  <c r="AZ104" s="1"/>
  <c r="AC104"/>
  <c r="AS103"/>
  <c r="AQ103"/>
  <c r="AZ103" s="1"/>
  <c r="AC103"/>
  <c r="AP102"/>
  <c r="AO102"/>
  <c r="AN102"/>
  <c r="AM102"/>
  <c r="AI102"/>
  <c r="AH102"/>
  <c r="AF102"/>
  <c r="AE102"/>
  <c r="AB102"/>
  <c r="AA102"/>
  <c r="Y102"/>
  <c r="X102"/>
  <c r="T102"/>
  <c r="P102"/>
  <c r="O102"/>
  <c r="N102"/>
  <c r="Q102" s="1"/>
  <c r="R102" s="1"/>
  <c r="M102"/>
  <c r="L102"/>
  <c r="AG101"/>
  <c r="AK101" s="1"/>
  <c r="AD101"/>
  <c r="AC101"/>
  <c r="U101"/>
  <c r="AU101" s="1"/>
  <c r="Q101"/>
  <c r="AZ100"/>
  <c r="AC100"/>
  <c r="AK99"/>
  <c r="AD99"/>
  <c r="AC99"/>
  <c r="U99"/>
  <c r="AU99" s="1"/>
  <c r="Q99"/>
  <c r="S99" s="1"/>
  <c r="V99" s="1"/>
  <c r="AZ98"/>
  <c r="AC98"/>
  <c r="AJ97"/>
  <c r="AG97"/>
  <c r="AD97"/>
  <c r="AC97"/>
  <c r="W97"/>
  <c r="U97"/>
  <c r="AU97" s="1"/>
  <c r="S97"/>
  <c r="V97" s="1"/>
  <c r="R97"/>
  <c r="Q97"/>
  <c r="AJ96"/>
  <c r="AK96" s="1"/>
  <c r="AL96" s="1"/>
  <c r="AD96"/>
  <c r="AC96"/>
  <c r="U96"/>
  <c r="AU96" s="1"/>
  <c r="S96"/>
  <c r="V96" s="1"/>
  <c r="Q96"/>
  <c r="AZ95"/>
  <c r="AC95"/>
  <c r="AO94"/>
  <c r="AJ94"/>
  <c r="AG94"/>
  <c r="AD94"/>
  <c r="AC94"/>
  <c r="W94"/>
  <c r="U94"/>
  <c r="AU94" s="1"/>
  <c r="N94"/>
  <c r="Q94" s="1"/>
  <c r="AZ93"/>
  <c r="AC93"/>
  <c r="AO92"/>
  <c r="AO88" s="1"/>
  <c r="AO87" s="1"/>
  <c r="AK92"/>
  <c r="AV92" s="1"/>
  <c r="AG92"/>
  <c r="AD92"/>
  <c r="AC92"/>
  <c r="U92"/>
  <c r="AU92" s="1"/>
  <c r="AX92" s="1"/>
  <c r="Q92"/>
  <c r="R92" s="1"/>
  <c r="AU91"/>
  <c r="AL91"/>
  <c r="AK91"/>
  <c r="AV91" s="1"/>
  <c r="AD91"/>
  <c r="AC91"/>
  <c r="U91"/>
  <c r="Q91"/>
  <c r="R91" s="1"/>
  <c r="AS90"/>
  <c r="AQ90"/>
  <c r="AZ90" s="1"/>
  <c r="AC90"/>
  <c r="AS89"/>
  <c r="AQ89"/>
  <c r="AZ89" s="1"/>
  <c r="AC89"/>
  <c r="AT88"/>
  <c r="AP88"/>
  <c r="AP87" s="1"/>
  <c r="AN88"/>
  <c r="AM88"/>
  <c r="AI88"/>
  <c r="AI87" s="1"/>
  <c r="AH88"/>
  <c r="AG88"/>
  <c r="AF88"/>
  <c r="AE88"/>
  <c r="AE87" s="1"/>
  <c r="AB88"/>
  <c r="AA88"/>
  <c r="Y88"/>
  <c r="X88"/>
  <c r="X87" s="1"/>
  <c r="T88"/>
  <c r="P88"/>
  <c r="O88"/>
  <c r="N88"/>
  <c r="Q88" s="1"/>
  <c r="R88" s="1"/>
  <c r="M88"/>
  <c r="L88"/>
  <c r="AN87"/>
  <c r="AH87"/>
  <c r="AF87"/>
  <c r="AK86"/>
  <c r="AV86" s="1"/>
  <c r="AD86"/>
  <c r="AC86"/>
  <c r="U86"/>
  <c r="AU86" s="1"/>
  <c r="R86"/>
  <c r="Q86"/>
  <c r="S86" s="1"/>
  <c r="V86" s="1"/>
  <c r="AQ85"/>
  <c r="AS85" s="1"/>
  <c r="AC85"/>
  <c r="AG84"/>
  <c r="AG77" s="1"/>
  <c r="AD84"/>
  <c r="AC84"/>
  <c r="W84"/>
  <c r="U84"/>
  <c r="AU84" s="1"/>
  <c r="S84"/>
  <c r="V84" s="1"/>
  <c r="Q84"/>
  <c r="R84" s="1"/>
  <c r="AQ83"/>
  <c r="AS83" s="1"/>
  <c r="AC83"/>
  <c r="AK82"/>
  <c r="AL82" s="1"/>
  <c r="AD82"/>
  <c r="AC82"/>
  <c r="U82"/>
  <c r="AU82" s="1"/>
  <c r="R82"/>
  <c r="Q82"/>
  <c r="S82" s="1"/>
  <c r="V82" s="1"/>
  <c r="AZ81"/>
  <c r="AQ81"/>
  <c r="AS81" s="1"/>
  <c r="AC81"/>
  <c r="AK80"/>
  <c r="AV80" s="1"/>
  <c r="AW80" s="1"/>
  <c r="AD80"/>
  <c r="AC80"/>
  <c r="U80"/>
  <c r="AU80" s="1"/>
  <c r="Q80"/>
  <c r="AQ79"/>
  <c r="AS79" s="1"/>
  <c r="AC79"/>
  <c r="AQ78"/>
  <c r="AS78" s="1"/>
  <c r="AC78"/>
  <c r="AT77"/>
  <c r="AP77"/>
  <c r="AO77"/>
  <c r="AN77"/>
  <c r="AM77"/>
  <c r="AJ77"/>
  <c r="AI77"/>
  <c r="AH77"/>
  <c r="AF77"/>
  <c r="AE77"/>
  <c r="AB77"/>
  <c r="Y77"/>
  <c r="X77"/>
  <c r="T77"/>
  <c r="P77"/>
  <c r="O77"/>
  <c r="N77"/>
  <c r="M77"/>
  <c r="L77"/>
  <c r="AJ76"/>
  <c r="AD76"/>
  <c r="AC76"/>
  <c r="U76"/>
  <c r="AU76" s="1"/>
  <c r="N76"/>
  <c r="Q76" s="1"/>
  <c r="R76" s="1"/>
  <c r="AQ75"/>
  <c r="AS75" s="1"/>
  <c r="AC75"/>
  <c r="AK74"/>
  <c r="AD74"/>
  <c r="AC74"/>
  <c r="U74"/>
  <c r="AU74" s="1"/>
  <c r="R74"/>
  <c r="Q74"/>
  <c r="S74" s="1"/>
  <c r="V74" s="1"/>
  <c r="AZ73"/>
  <c r="AC73"/>
  <c r="AK72"/>
  <c r="AL72" s="1"/>
  <c r="AD72"/>
  <c r="AC72"/>
  <c r="U72"/>
  <c r="AU72" s="1"/>
  <c r="R72"/>
  <c r="Q72"/>
  <c r="S72" s="1"/>
  <c r="V72" s="1"/>
  <c r="AZ71"/>
  <c r="AC71"/>
  <c r="AZ70"/>
  <c r="AC70"/>
  <c r="AT69"/>
  <c r="AP69"/>
  <c r="AO69"/>
  <c r="AN69"/>
  <c r="AM69"/>
  <c r="AJ69"/>
  <c r="AI69"/>
  <c r="AH69"/>
  <c r="AG69"/>
  <c r="AF69"/>
  <c r="AE69"/>
  <c r="AB69"/>
  <c r="AA69"/>
  <c r="Y69"/>
  <c r="Y34" s="1"/>
  <c r="X69"/>
  <c r="W69"/>
  <c r="T69"/>
  <c r="P69"/>
  <c r="O69"/>
  <c r="N69"/>
  <c r="M69"/>
  <c r="AD69" s="1"/>
  <c r="L69"/>
  <c r="AO68"/>
  <c r="AK68"/>
  <c r="AQ68" s="1"/>
  <c r="AZ68" s="1"/>
  <c r="AD68"/>
  <c r="AC68"/>
  <c r="U68"/>
  <c r="AU68" s="1"/>
  <c r="S68"/>
  <c r="V68" s="1"/>
  <c r="Q68"/>
  <c r="R68" s="1"/>
  <c r="AS67"/>
  <c r="AQ67"/>
  <c r="AZ67" s="1"/>
  <c r="AC67"/>
  <c r="AU66"/>
  <c r="AX66" s="1"/>
  <c r="AK66"/>
  <c r="AV66" s="1"/>
  <c r="AD66"/>
  <c r="AL66" s="1"/>
  <c r="AC66"/>
  <c r="U66"/>
  <c r="Q66"/>
  <c r="R66" s="1"/>
  <c r="AZ65"/>
  <c r="AS65"/>
  <c r="AQ65"/>
  <c r="AC65"/>
  <c r="AD64"/>
  <c r="AC64"/>
  <c r="W64"/>
  <c r="AK64" s="1"/>
  <c r="U64"/>
  <c r="AU64" s="1"/>
  <c r="R64"/>
  <c r="Q64"/>
  <c r="S64" s="1"/>
  <c r="V64" s="1"/>
  <c r="AZ63"/>
  <c r="AQ63"/>
  <c r="AC63"/>
  <c r="AU62"/>
  <c r="AX62" s="1"/>
  <c r="AK62"/>
  <c r="AV62" s="1"/>
  <c r="AD62"/>
  <c r="AL62" s="1"/>
  <c r="AC62"/>
  <c r="U62"/>
  <c r="Q62"/>
  <c r="R62" s="1"/>
  <c r="AJ61"/>
  <c r="AK61" s="1"/>
  <c r="AD61"/>
  <c r="AC61"/>
  <c r="U61"/>
  <c r="AU61" s="1"/>
  <c r="S61"/>
  <c r="V61" s="1"/>
  <c r="R61"/>
  <c r="Q61"/>
  <c r="AQ60"/>
  <c r="AS60" s="1"/>
  <c r="AC60"/>
  <c r="AZ59"/>
  <c r="AQ59"/>
  <c r="AS59" s="1"/>
  <c r="AC59"/>
  <c r="AU58"/>
  <c r="AK58"/>
  <c r="AV58" s="1"/>
  <c r="AG58"/>
  <c r="AD58"/>
  <c r="AC58"/>
  <c r="U58"/>
  <c r="Q58"/>
  <c r="S58" s="1"/>
  <c r="V58" s="1"/>
  <c r="AZ57"/>
  <c r="AC57"/>
  <c r="AG56"/>
  <c r="AK56" s="1"/>
  <c r="AD56"/>
  <c r="AC56"/>
  <c r="U56"/>
  <c r="AU56" s="1"/>
  <c r="Q56"/>
  <c r="S56" s="1"/>
  <c r="V56" s="1"/>
  <c r="AZ55"/>
  <c r="AC55"/>
  <c r="AZ54"/>
  <c r="AC54"/>
  <c r="AT53"/>
  <c r="AP53"/>
  <c r="AO53"/>
  <c r="AN53"/>
  <c r="AN34" s="1"/>
  <c r="AM53"/>
  <c r="AI53"/>
  <c r="AH53"/>
  <c r="AH34" s="1"/>
  <c r="AF53"/>
  <c r="AE53"/>
  <c r="AB53"/>
  <c r="AA53"/>
  <c r="Y53"/>
  <c r="X53"/>
  <c r="T53"/>
  <c r="P53"/>
  <c r="O53"/>
  <c r="N53"/>
  <c r="M53"/>
  <c r="AD53" s="1"/>
  <c r="L53"/>
  <c r="AG52"/>
  <c r="AD52"/>
  <c r="AC52"/>
  <c r="W52"/>
  <c r="AK52" s="1"/>
  <c r="U52"/>
  <c r="AU52" s="1"/>
  <c r="R52"/>
  <c r="Q52"/>
  <c r="S52" s="1"/>
  <c r="V52" s="1"/>
  <c r="AO51"/>
  <c r="AJ51"/>
  <c r="AG51"/>
  <c r="AD51"/>
  <c r="AC51"/>
  <c r="W51"/>
  <c r="U51"/>
  <c r="AU51" s="1"/>
  <c r="N51"/>
  <c r="Q51" s="1"/>
  <c r="AO50"/>
  <c r="AG50"/>
  <c r="AD50"/>
  <c r="AC50"/>
  <c r="W50"/>
  <c r="AK50" s="1"/>
  <c r="U50"/>
  <c r="AU50" s="1"/>
  <c r="R50"/>
  <c r="Q50"/>
  <c r="S50" s="1"/>
  <c r="V50" s="1"/>
  <c r="AO49"/>
  <c r="AG49"/>
  <c r="AD49"/>
  <c r="AC49"/>
  <c r="W49"/>
  <c r="AK49" s="1"/>
  <c r="U49"/>
  <c r="AU49" s="1"/>
  <c r="Q49"/>
  <c r="R49" s="1"/>
  <c r="AO48"/>
  <c r="AO45" s="1"/>
  <c r="AG48"/>
  <c r="AD48"/>
  <c r="AC48"/>
  <c r="W48"/>
  <c r="AK48" s="1"/>
  <c r="U48"/>
  <c r="AU48" s="1"/>
  <c r="Q48"/>
  <c r="S48" s="1"/>
  <c r="V48" s="1"/>
  <c r="AQ47"/>
  <c r="AS47" s="1"/>
  <c r="AC47"/>
  <c r="AQ46"/>
  <c r="AS46" s="1"/>
  <c r="AC46"/>
  <c r="AT45"/>
  <c r="AP45"/>
  <c r="AN45"/>
  <c r="AM45"/>
  <c r="AJ45"/>
  <c r="AI45"/>
  <c r="AH45"/>
  <c r="AF45"/>
  <c r="AE45"/>
  <c r="AB45"/>
  <c r="AB34" s="1"/>
  <c r="Y45"/>
  <c r="X45"/>
  <c r="T45"/>
  <c r="P45"/>
  <c r="O45"/>
  <c r="N45"/>
  <c r="Q45" s="1"/>
  <c r="R45" s="1"/>
  <c r="M45"/>
  <c r="L45"/>
  <c r="AK44"/>
  <c r="AV44" s="1"/>
  <c r="AD44"/>
  <c r="AC44"/>
  <c r="U44"/>
  <c r="AU44" s="1"/>
  <c r="AX44" s="1"/>
  <c r="S44"/>
  <c r="V44" s="1"/>
  <c r="Q44"/>
  <c r="R44" s="1"/>
  <c r="AQ43"/>
  <c r="AZ43" s="1"/>
  <c r="AC43"/>
  <c r="AV42"/>
  <c r="AO42"/>
  <c r="AL42"/>
  <c r="AK42"/>
  <c r="AQ42" s="1"/>
  <c r="AD42"/>
  <c r="AC42"/>
  <c r="U42"/>
  <c r="AU42" s="1"/>
  <c r="AX42" s="1"/>
  <c r="Q42"/>
  <c r="R42" s="1"/>
  <c r="AK41"/>
  <c r="AV41" s="1"/>
  <c r="AD41"/>
  <c r="AL41" s="1"/>
  <c r="AC41"/>
  <c r="U41"/>
  <c r="AU41" s="1"/>
  <c r="AX41" s="1"/>
  <c r="Q41"/>
  <c r="R41" s="1"/>
  <c r="AZ40"/>
  <c r="AC40"/>
  <c r="AD39"/>
  <c r="AC39"/>
  <c r="U39"/>
  <c r="AU39" s="1"/>
  <c r="Q39"/>
  <c r="R39" s="1"/>
  <c r="N39"/>
  <c r="AK39" s="1"/>
  <c r="AK38"/>
  <c r="AQ38" s="1"/>
  <c r="AZ38" s="1"/>
  <c r="AD38"/>
  <c r="AC38"/>
  <c r="U38"/>
  <c r="AU38" s="1"/>
  <c r="Q38"/>
  <c r="R38" s="1"/>
  <c r="AZ37"/>
  <c r="AC37"/>
  <c r="AC36"/>
  <c r="AT35"/>
  <c r="AP35"/>
  <c r="AP34" s="1"/>
  <c r="AO35"/>
  <c r="AN35"/>
  <c r="AM35"/>
  <c r="AM34" s="1"/>
  <c r="AJ35"/>
  <c r="AI35"/>
  <c r="AI34" s="1"/>
  <c r="AH35"/>
  <c r="AG35"/>
  <c r="AF35"/>
  <c r="AF34" s="1"/>
  <c r="AE35"/>
  <c r="AB35"/>
  <c r="AA35"/>
  <c r="Y35"/>
  <c r="X35"/>
  <c r="W35"/>
  <c r="T35"/>
  <c r="U35" s="1"/>
  <c r="AU35" s="1"/>
  <c r="P35"/>
  <c r="O35"/>
  <c r="M35"/>
  <c r="M34" s="1"/>
  <c r="L35"/>
  <c r="AC35" s="1"/>
  <c r="Z34"/>
  <c r="O34"/>
  <c r="AT33"/>
  <c r="AZ32"/>
  <c r="AZ31"/>
  <c r="AR30"/>
  <c r="AQ30"/>
  <c r="AO30"/>
  <c r="AZ30" s="1"/>
  <c r="AL30"/>
  <c r="AC30"/>
  <c r="AR29"/>
  <c r="AQ29"/>
  <c r="AO29"/>
  <c r="AZ29" s="1"/>
  <c r="AL29"/>
  <c r="AC29"/>
  <c r="AN28"/>
  <c r="AO28" s="1"/>
  <c r="AL28"/>
  <c r="AC28"/>
  <c r="AM27"/>
  <c r="AL27"/>
  <c r="AK27"/>
  <c r="AC27"/>
  <c r="AR26"/>
  <c r="AQ26"/>
  <c r="AO26"/>
  <c r="AZ26" s="1"/>
  <c r="AL26"/>
  <c r="AC26"/>
  <c r="AR25"/>
  <c r="AQ25"/>
  <c r="AO25"/>
  <c r="AZ25" s="1"/>
  <c r="AL25"/>
  <c r="AC25"/>
  <c r="AQ24"/>
  <c r="AR24" s="1"/>
  <c r="AO24"/>
  <c r="AZ24" s="1"/>
  <c r="AL24"/>
  <c r="AC24"/>
  <c r="AQ23"/>
  <c r="AR23" s="1"/>
  <c r="AP23"/>
  <c r="AO23"/>
  <c r="AZ23" s="1"/>
  <c r="AL23"/>
  <c r="AC23"/>
  <c r="AR22"/>
  <c r="AQ22"/>
  <c r="AO22"/>
  <c r="AZ22" s="1"/>
  <c r="AL22"/>
  <c r="AC22"/>
  <c r="AR21"/>
  <c r="AQ21"/>
  <c r="AO21"/>
  <c r="AZ21" s="1"/>
  <c r="AL21"/>
  <c r="AC21"/>
  <c r="AQ20"/>
  <c r="AR20" s="1"/>
  <c r="AO20"/>
  <c r="AZ20" s="1"/>
  <c r="AL20"/>
  <c r="AC20"/>
  <c r="AQ19"/>
  <c r="AR19" s="1"/>
  <c r="AP19"/>
  <c r="AO19"/>
  <c r="AZ19" s="1"/>
  <c r="AL19"/>
  <c r="AC19"/>
  <c r="AR18"/>
  <c r="AQ18"/>
  <c r="AO18"/>
  <c r="AZ18" s="1"/>
  <c r="AL18"/>
  <c r="AC18"/>
  <c r="AR17"/>
  <c r="AQ17"/>
  <c r="AO17"/>
  <c r="AZ17" s="1"/>
  <c r="AL17"/>
  <c r="AC17"/>
  <c r="AN16"/>
  <c r="AM16"/>
  <c r="AL16"/>
  <c r="AK16"/>
  <c r="AK15" s="1"/>
  <c r="AG16"/>
  <c r="AE16"/>
  <c r="AE15" s="1"/>
  <c r="AD16"/>
  <c r="AD15" s="1"/>
  <c r="AB16"/>
  <c r="AO16" s="1"/>
  <c r="AP16" s="1"/>
  <c r="AA16"/>
  <c r="AA15" s="1"/>
  <c r="Z16"/>
  <c r="Y16"/>
  <c r="Y15" s="1"/>
  <c r="X16"/>
  <c r="X15" s="1"/>
  <c r="W16"/>
  <c r="W15" s="1"/>
  <c r="V16"/>
  <c r="U16"/>
  <c r="T16"/>
  <c r="S16"/>
  <c r="S15" s="1"/>
  <c r="R16"/>
  <c r="Q16"/>
  <c r="Q15" s="1"/>
  <c r="P16"/>
  <c r="O16"/>
  <c r="O15" s="1"/>
  <c r="N16"/>
  <c r="M16"/>
  <c r="M15" s="1"/>
  <c r="L16"/>
  <c r="AZ16" s="1"/>
  <c r="AG15"/>
  <c r="Z15"/>
  <c r="V15"/>
  <c r="U15"/>
  <c r="T15"/>
  <c r="R15"/>
  <c r="P15"/>
  <c r="N15"/>
  <c r="AZ14"/>
  <c r="AZ13"/>
  <c r="AC13"/>
  <c r="AE13" s="1"/>
  <c r="AZ12"/>
  <c r="AE12"/>
  <c r="AC12"/>
  <c r="AZ11"/>
  <c r="AC11"/>
  <c r="AE11" s="1"/>
  <c r="AD10"/>
  <c r="AB10"/>
  <c r="AA10"/>
  <c r="Z10"/>
  <c r="Y10"/>
  <c r="X10"/>
  <c r="W10"/>
  <c r="V10"/>
  <c r="U10"/>
  <c r="T10"/>
  <c r="S10"/>
  <c r="R10"/>
  <c r="Q10"/>
  <c r="P10"/>
  <c r="O10"/>
  <c r="N10"/>
  <c r="M10"/>
  <c r="L10"/>
  <c r="AZ10" s="1"/>
  <c r="AZ9"/>
  <c r="D17" i="71"/>
  <c r="D7"/>
  <c r="D27"/>
  <c r="F27" s="1"/>
  <c r="AZ42" i="79" l="1"/>
  <c r="AS42"/>
  <c r="AY42" s="1"/>
  <c r="S190"/>
  <c r="V190" s="1"/>
  <c r="R190"/>
  <c r="U365"/>
  <c r="AU365" s="1"/>
  <c r="S365"/>
  <c r="V365" s="1"/>
  <c r="R454"/>
  <c r="S454"/>
  <c r="V454" s="1"/>
  <c r="S80"/>
  <c r="V80" s="1"/>
  <c r="R80"/>
  <c r="AL108"/>
  <c r="AQ108"/>
  <c r="AZ108" s="1"/>
  <c r="AV108"/>
  <c r="AC114"/>
  <c r="AB87"/>
  <c r="R152"/>
  <c r="S152"/>
  <c r="V152" s="1"/>
  <c r="AQ161"/>
  <c r="AR161" s="1"/>
  <c r="AV161"/>
  <c r="AV228"/>
  <c r="AW228" s="1"/>
  <c r="AL228"/>
  <c r="AV245"/>
  <c r="AW245" s="1"/>
  <c r="AL245"/>
  <c r="AL266"/>
  <c r="AQ266"/>
  <c r="AS266" s="1"/>
  <c r="AY266" s="1"/>
  <c r="AV266"/>
  <c r="AK370"/>
  <c r="Z351"/>
  <c r="Z30" s="1"/>
  <c r="N416"/>
  <c r="Q417"/>
  <c r="AS425"/>
  <c r="AY425" s="1"/>
  <c r="AR425"/>
  <c r="AS436"/>
  <c r="AY436" s="1"/>
  <c r="AR436"/>
  <c r="AQ439"/>
  <c r="AV439"/>
  <c r="R589"/>
  <c r="S589"/>
  <c r="V589" s="1"/>
  <c r="AL595"/>
  <c r="AQ595"/>
  <c r="AZ595" s="1"/>
  <c r="AL601"/>
  <c r="AQ601"/>
  <c r="AZ601" s="1"/>
  <c r="AV604"/>
  <c r="AL604"/>
  <c r="AL634"/>
  <c r="AQ634"/>
  <c r="AV634"/>
  <c r="AL641"/>
  <c r="AQ641"/>
  <c r="AV641"/>
  <c r="AL668"/>
  <c r="AQ668"/>
  <c r="AV668"/>
  <c r="AK672"/>
  <c r="AJ653"/>
  <c r="AW44"/>
  <c r="AD200"/>
  <c r="AW662"/>
  <c r="AN15"/>
  <c r="X34"/>
  <c r="AE34"/>
  <c r="AO34"/>
  <c r="AV38"/>
  <c r="AW38" s="1"/>
  <c r="AJ53"/>
  <c r="AJ34" s="1"/>
  <c r="AC10"/>
  <c r="L15"/>
  <c r="AS13" s="1"/>
  <c r="AB15"/>
  <c r="AQ16"/>
  <c r="AR16" s="1"/>
  <c r="AP20"/>
  <c r="AP24"/>
  <c r="AN27"/>
  <c r="AQ28"/>
  <c r="AR28" s="1"/>
  <c r="N35"/>
  <c r="N34" s="1"/>
  <c r="S39"/>
  <c r="V39" s="1"/>
  <c r="S41"/>
  <c r="V41" s="1"/>
  <c r="AW41"/>
  <c r="R48"/>
  <c r="AG45"/>
  <c r="AK51"/>
  <c r="W53"/>
  <c r="R56"/>
  <c r="AZ60"/>
  <c r="AW62"/>
  <c r="AW66"/>
  <c r="T87"/>
  <c r="AX158"/>
  <c r="AX228"/>
  <c r="AX245"/>
  <c r="AW279"/>
  <c r="AI290"/>
  <c r="U309"/>
  <c r="AD309"/>
  <c r="AX391"/>
  <c r="AW393"/>
  <c r="R395"/>
  <c r="N443"/>
  <c r="AX471"/>
  <c r="U487"/>
  <c r="AD487"/>
  <c r="AC504"/>
  <c r="AX577"/>
  <c r="AW597"/>
  <c r="AX617"/>
  <c r="AX619"/>
  <c r="AX664"/>
  <c r="AV140"/>
  <c r="AW140" s="1"/>
  <c r="AL140"/>
  <c r="AK137"/>
  <c r="AL137" s="1"/>
  <c r="S145"/>
  <c r="V145" s="1"/>
  <c r="R145"/>
  <c r="S415"/>
  <c r="V415" s="1"/>
  <c r="R415"/>
  <c r="AL664"/>
  <c r="AQ664"/>
  <c r="AZ664" s="1"/>
  <c r="S147"/>
  <c r="V147" s="1"/>
  <c r="R147"/>
  <c r="AQ198"/>
  <c r="AS198" s="1"/>
  <c r="AY198" s="1"/>
  <c r="AV198"/>
  <c r="AL209"/>
  <c r="AQ209"/>
  <c r="AS209" s="1"/>
  <c r="AY209" s="1"/>
  <c r="AV209"/>
  <c r="AV251"/>
  <c r="AW251" s="1"/>
  <c r="AL251"/>
  <c r="L290"/>
  <c r="AC291"/>
  <c r="AD291"/>
  <c r="AA290"/>
  <c r="AZ306"/>
  <c r="AR306"/>
  <c r="S308"/>
  <c r="V308" s="1"/>
  <c r="R308"/>
  <c r="Q329"/>
  <c r="S329" s="1"/>
  <c r="V329" s="1"/>
  <c r="N290"/>
  <c r="R394"/>
  <c r="S394"/>
  <c r="V394" s="1"/>
  <c r="R450"/>
  <c r="S450"/>
  <c r="V450" s="1"/>
  <c r="AV486"/>
  <c r="AL486"/>
  <c r="W504"/>
  <c r="W443" s="1"/>
  <c r="AK507"/>
  <c r="AK504" s="1"/>
  <c r="Q549"/>
  <c r="N548"/>
  <c r="AC549"/>
  <c r="AB548"/>
  <c r="AZ582"/>
  <c r="AR582"/>
  <c r="R585"/>
  <c r="S585"/>
  <c r="V585" s="1"/>
  <c r="R587"/>
  <c r="S587"/>
  <c r="V587" s="1"/>
  <c r="AL629"/>
  <c r="AQ629"/>
  <c r="AV629"/>
  <c r="AL662"/>
  <c r="AQ662"/>
  <c r="AZ662" s="1"/>
  <c r="AQ27"/>
  <c r="AR27" s="1"/>
  <c r="AD35"/>
  <c r="P34"/>
  <c r="AL44"/>
  <c r="S45"/>
  <c r="AD45"/>
  <c r="AL68"/>
  <c r="AV68"/>
  <c r="AW68" s="1"/>
  <c r="Q69"/>
  <c r="AX153"/>
  <c r="Q155"/>
  <c r="AW162"/>
  <c r="AW214"/>
  <c r="AD221"/>
  <c r="AW232"/>
  <c r="AE290"/>
  <c r="Z290"/>
  <c r="Z33" s="1"/>
  <c r="AD365"/>
  <c r="AL365" s="1"/>
  <c r="AX420"/>
  <c r="AV479"/>
  <c r="AW479" s="1"/>
  <c r="AE443"/>
  <c r="AI443"/>
  <c r="AW493"/>
  <c r="AW501"/>
  <c r="AX510"/>
  <c r="AW517"/>
  <c r="AW520"/>
  <c r="AW560"/>
  <c r="AW592"/>
  <c r="AW627"/>
  <c r="AX673"/>
  <c r="S101"/>
  <c r="V101" s="1"/>
  <c r="R101"/>
  <c r="U118"/>
  <c r="AD118"/>
  <c r="AZ323"/>
  <c r="AS323"/>
  <c r="AY323" s="1"/>
  <c r="AQ428"/>
  <c r="AV428"/>
  <c r="AZ610"/>
  <c r="AR610"/>
  <c r="AL619"/>
  <c r="AQ619"/>
  <c r="AZ619" s="1"/>
  <c r="AZ647"/>
  <c r="AR647"/>
  <c r="AL129"/>
  <c r="AQ129"/>
  <c r="AZ129" s="1"/>
  <c r="AV129"/>
  <c r="AW129" s="1"/>
  <c r="AS153"/>
  <c r="AY153" s="1"/>
  <c r="AR153"/>
  <c r="AL164"/>
  <c r="AQ164"/>
  <c r="AR164" s="1"/>
  <c r="AV164"/>
  <c r="AV203"/>
  <c r="AW203" s="1"/>
  <c r="AK200"/>
  <c r="AL200" s="1"/>
  <c r="S303"/>
  <c r="V303" s="1"/>
  <c r="R303"/>
  <c r="U355"/>
  <c r="AU355" s="1"/>
  <c r="S355"/>
  <c r="V355" s="1"/>
  <c r="AK377"/>
  <c r="AG374"/>
  <c r="AG290" s="1"/>
  <c r="AL382"/>
  <c r="AQ382"/>
  <c r="AZ382" s="1"/>
  <c r="AV382"/>
  <c r="AK413"/>
  <c r="X395"/>
  <c r="AQ420"/>
  <c r="AK417"/>
  <c r="AR430"/>
  <c r="AZ430"/>
  <c r="AZ479"/>
  <c r="AR479"/>
  <c r="AL515"/>
  <c r="AQ515"/>
  <c r="AZ515" s="1"/>
  <c r="AV515"/>
  <c r="AW515" s="1"/>
  <c r="AZ517"/>
  <c r="AR517"/>
  <c r="S532"/>
  <c r="V532" s="1"/>
  <c r="R532"/>
  <c r="S547"/>
  <c r="V547" s="1"/>
  <c r="R547"/>
  <c r="S614"/>
  <c r="V614" s="1"/>
  <c r="R614"/>
  <c r="AZ616"/>
  <c r="AR616"/>
  <c r="AV623"/>
  <c r="AW623" s="1"/>
  <c r="AL623"/>
  <c r="AL627"/>
  <c r="AQ627"/>
  <c r="AZ627" s="1"/>
  <c r="R644"/>
  <c r="S644"/>
  <c r="V644" s="1"/>
  <c r="S673"/>
  <c r="V673" s="1"/>
  <c r="R673"/>
  <c r="AW306"/>
  <c r="AX486"/>
  <c r="AE10"/>
  <c r="AO27"/>
  <c r="AP27" s="1"/>
  <c r="Q53"/>
  <c r="AU118"/>
  <c r="N192"/>
  <c r="AW274"/>
  <c r="AX282"/>
  <c r="AL389"/>
  <c r="T416"/>
  <c r="Q416"/>
  <c r="AW425"/>
  <c r="AW436"/>
  <c r="AX439"/>
  <c r="AW574"/>
  <c r="AI548"/>
  <c r="AW595"/>
  <c r="AW599"/>
  <c r="AW601"/>
  <c r="AX604"/>
  <c r="AW611"/>
  <c r="AW614"/>
  <c r="AW625"/>
  <c r="AC635"/>
  <c r="AK76"/>
  <c r="AL76" s="1"/>
  <c r="S88"/>
  <c r="U88"/>
  <c r="AU88" s="1"/>
  <c r="AW92"/>
  <c r="S102"/>
  <c r="U102"/>
  <c r="Y87"/>
  <c r="Y33" s="1"/>
  <c r="AX131"/>
  <c r="AW135"/>
  <c r="Q136"/>
  <c r="R136" s="1"/>
  <c r="Q137"/>
  <c r="AV142"/>
  <c r="AH154"/>
  <c r="AW159"/>
  <c r="AL162"/>
  <c r="U168"/>
  <c r="AQ173"/>
  <c r="AQ176"/>
  <c r="AW177"/>
  <c r="AL181"/>
  <c r="AW183"/>
  <c r="Y192"/>
  <c r="AX196"/>
  <c r="AQ196"/>
  <c r="AS196" s="1"/>
  <c r="AY196" s="1"/>
  <c r="AL198"/>
  <c r="M192"/>
  <c r="AE192"/>
  <c r="AI192"/>
  <c r="AL203"/>
  <c r="AX204"/>
  <c r="AW207"/>
  <c r="AX213"/>
  <c r="AL214"/>
  <c r="S221"/>
  <c r="V221" s="1"/>
  <c r="V225"/>
  <c r="AW229"/>
  <c r="AL236"/>
  <c r="AL239"/>
  <c r="AV247"/>
  <c r="AW247" s="1"/>
  <c r="Q248"/>
  <c r="AW252"/>
  <c r="AX262"/>
  <c r="AW264"/>
  <c r="AX269"/>
  <c r="AQ269"/>
  <c r="AS269" s="1"/>
  <c r="AY269" s="1"/>
  <c r="Q270"/>
  <c r="AR274"/>
  <c r="AL277"/>
  <c r="AR279"/>
  <c r="AL280"/>
  <c r="AR282"/>
  <c r="AL286"/>
  <c r="Q291"/>
  <c r="AX294"/>
  <c r="AW297"/>
  <c r="AL306"/>
  <c r="AH290"/>
  <c r="AN290"/>
  <c r="AN33" s="1"/>
  <c r="AW325"/>
  <c r="AW328"/>
  <c r="AL336"/>
  <c r="AL338"/>
  <c r="AL340"/>
  <c r="AL343"/>
  <c r="AL345"/>
  <c r="AL347"/>
  <c r="AW350"/>
  <c r="S362"/>
  <c r="V362" s="1"/>
  <c r="AQ362"/>
  <c r="AR365"/>
  <c r="Q374"/>
  <c r="R374" s="1"/>
  <c r="AW380"/>
  <c r="AX385"/>
  <c r="AQ385"/>
  <c r="AZ385" s="1"/>
  <c r="AW386"/>
  <c r="AR391"/>
  <c r="AQ393"/>
  <c r="AX398"/>
  <c r="AQ398"/>
  <c r="AZ398" s="1"/>
  <c r="AW399"/>
  <c r="AW404"/>
  <c r="AW407"/>
  <c r="AW410"/>
  <c r="AL412"/>
  <c r="AV415"/>
  <c r="AW415" s="1"/>
  <c r="S417"/>
  <c r="V417" s="1"/>
  <c r="AL420"/>
  <c r="AX423"/>
  <c r="AL425"/>
  <c r="AX426"/>
  <c r="AL428"/>
  <c r="AL436"/>
  <c r="AX437"/>
  <c r="AL439"/>
  <c r="AQ442"/>
  <c r="AR442" s="1"/>
  <c r="O443"/>
  <c r="X443"/>
  <c r="AO443"/>
  <c r="U457"/>
  <c r="AL472"/>
  <c r="AL479"/>
  <c r="AL497"/>
  <c r="AL499"/>
  <c r="AV503"/>
  <c r="AW503" s="1"/>
  <c r="Q504"/>
  <c r="AV512"/>
  <c r="AL521"/>
  <c r="AQ527"/>
  <c r="AZ527" s="1"/>
  <c r="U529"/>
  <c r="AU529" s="1"/>
  <c r="AD529"/>
  <c r="AX538"/>
  <c r="AQ538"/>
  <c r="AZ538" s="1"/>
  <c r="R545"/>
  <c r="AL545"/>
  <c r="AL552"/>
  <c r="AQ560"/>
  <c r="AZ560" s="1"/>
  <c r="AL563"/>
  <c r="AL570"/>
  <c r="AL572"/>
  <c r="AL574"/>
  <c r="AX585"/>
  <c r="AQ585"/>
  <c r="AX587"/>
  <c r="AL588"/>
  <c r="AX589"/>
  <c r="AW593"/>
  <c r="R599"/>
  <c r="AQ611"/>
  <c r="AZ611" s="1"/>
  <c r="AQ614"/>
  <c r="AZ614" s="1"/>
  <c r="AQ617"/>
  <c r="AZ617" s="1"/>
  <c r="AQ625"/>
  <c r="AZ625" s="1"/>
  <c r="AL631"/>
  <c r="AR632"/>
  <c r="AC636"/>
  <c r="AW638"/>
  <c r="AQ644"/>
  <c r="AL645"/>
  <c r="AL647"/>
  <c r="AJ635"/>
  <c r="AL650"/>
  <c r="AD653"/>
  <c r="AQ656"/>
  <c r="Q670"/>
  <c r="AQ673"/>
  <c r="AZ673" s="1"/>
  <c r="S675"/>
  <c r="V675" s="1"/>
  <c r="AL675"/>
  <c r="AL74"/>
  <c r="Q77"/>
  <c r="R77" s="1"/>
  <c r="AC88"/>
  <c r="AD88"/>
  <c r="AW91"/>
  <c r="S92"/>
  <c r="V92" s="1"/>
  <c r="AK94"/>
  <c r="AJ88"/>
  <c r="AJ87" s="1"/>
  <c r="AK97"/>
  <c r="AC102"/>
  <c r="AD102"/>
  <c r="AS104"/>
  <c r="AK106"/>
  <c r="Q110"/>
  <c r="R110" s="1"/>
  <c r="O87"/>
  <c r="AK117"/>
  <c r="R131"/>
  <c r="AL131"/>
  <c r="U137"/>
  <c r="AU137" s="1"/>
  <c r="AD137"/>
  <c r="AX142"/>
  <c r="AL148"/>
  <c r="AL152"/>
  <c r="N154"/>
  <c r="S158"/>
  <c r="V158" s="1"/>
  <c r="S159"/>
  <c r="V159" s="1"/>
  <c r="R166"/>
  <c r="AC168"/>
  <c r="P154"/>
  <c r="AL173"/>
  <c r="AL176"/>
  <c r="AL177"/>
  <c r="L192"/>
  <c r="P192"/>
  <c r="X192"/>
  <c r="AL204"/>
  <c r="AW211"/>
  <c r="AQ232"/>
  <c r="AW236"/>
  <c r="AW239"/>
  <c r="AW242"/>
  <c r="AX247"/>
  <c r="AW260"/>
  <c r="AL271"/>
  <c r="AW286"/>
  <c r="AW289"/>
  <c r="X290"/>
  <c r="AX305"/>
  <c r="AU309"/>
  <c r="AL312"/>
  <c r="AL317"/>
  <c r="AL320"/>
  <c r="AL323"/>
  <c r="AW338"/>
  <c r="AW345"/>
  <c r="U374"/>
  <c r="AU374" s="1"/>
  <c r="AD374"/>
  <c r="AW412"/>
  <c r="S413"/>
  <c r="V413" s="1"/>
  <c r="AX415"/>
  <c r="AQ417"/>
  <c r="AL423"/>
  <c r="AL426"/>
  <c r="AL450"/>
  <c r="AL454"/>
  <c r="AL462"/>
  <c r="AL467"/>
  <c r="AL469"/>
  <c r="AQ471"/>
  <c r="Q473"/>
  <c r="AL483"/>
  <c r="AL485"/>
  <c r="AU487"/>
  <c r="AQ493"/>
  <c r="AQ501"/>
  <c r="AQ510"/>
  <c r="AQ520"/>
  <c r="AL522"/>
  <c r="AC529"/>
  <c r="L548"/>
  <c r="P548"/>
  <c r="AO548"/>
  <c r="AX552"/>
  <c r="Q578"/>
  <c r="U578"/>
  <c r="AU578" s="1"/>
  <c r="AD578"/>
  <c r="AX582"/>
  <c r="AL587"/>
  <c r="AL606"/>
  <c r="Q607"/>
  <c r="R607" s="1"/>
  <c r="AD607"/>
  <c r="AL611"/>
  <c r="AL614"/>
  <c r="AL617"/>
  <c r="AX623"/>
  <c r="AW645"/>
  <c r="AL673"/>
  <c r="S77"/>
  <c r="AD77"/>
  <c r="AK84"/>
  <c r="AX86"/>
  <c r="AM87"/>
  <c r="AL99"/>
  <c r="AK105"/>
  <c r="AK107"/>
  <c r="AX108"/>
  <c r="S110"/>
  <c r="U110"/>
  <c r="U114"/>
  <c r="Q118"/>
  <c r="S118" s="1"/>
  <c r="V118" s="1"/>
  <c r="AP33"/>
  <c r="AX129"/>
  <c r="AL142"/>
  <c r="AL145"/>
  <c r="AL147"/>
  <c r="AL150"/>
  <c r="AX161"/>
  <c r="AX164"/>
  <c r="AX176"/>
  <c r="AW180"/>
  <c r="AL184"/>
  <c r="AW186"/>
  <c r="AU193"/>
  <c r="AX198"/>
  <c r="O192"/>
  <c r="AG192"/>
  <c r="AX209"/>
  <c r="AX216"/>
  <c r="AX218"/>
  <c r="AU221"/>
  <c r="AW244"/>
  <c r="AL247"/>
  <c r="S248"/>
  <c r="AD248"/>
  <c r="AW255"/>
  <c r="AX259"/>
  <c r="AL260"/>
  <c r="AX266"/>
  <c r="AW267"/>
  <c r="U271"/>
  <c r="AU271" s="1"/>
  <c r="AD270"/>
  <c r="AV277"/>
  <c r="AW277" s="1"/>
  <c r="AV280"/>
  <c r="AW280" s="1"/>
  <c r="AW284"/>
  <c r="AW287"/>
  <c r="S291"/>
  <c r="AX299"/>
  <c r="AV301"/>
  <c r="AW301" s="1"/>
  <c r="S309"/>
  <c r="V309" s="1"/>
  <c r="AF290"/>
  <c r="AF33" s="1"/>
  <c r="AJ290"/>
  <c r="AP290"/>
  <c r="AW312"/>
  <c r="AX315"/>
  <c r="AW317"/>
  <c r="AX318"/>
  <c r="AW320"/>
  <c r="AX321"/>
  <c r="AX323"/>
  <c r="AD329"/>
  <c r="AL329"/>
  <c r="AW333"/>
  <c r="AW342"/>
  <c r="AX354"/>
  <c r="AK351"/>
  <c r="AV351" s="1"/>
  <c r="R355"/>
  <c r="AW355"/>
  <c r="AD362"/>
  <c r="AL362" s="1"/>
  <c r="R365"/>
  <c r="S370"/>
  <c r="V370" s="1"/>
  <c r="AX382"/>
  <c r="AW383"/>
  <c r="AX388"/>
  <c r="AL393"/>
  <c r="AL415"/>
  <c r="AX428"/>
  <c r="AL429"/>
  <c r="AX434"/>
  <c r="AD444"/>
  <c r="Q457"/>
  <c r="AW462"/>
  <c r="S487"/>
  <c r="V487" s="1"/>
  <c r="AL503"/>
  <c r="S504"/>
  <c r="AX512"/>
  <c r="AL512"/>
  <c r="AW522"/>
  <c r="AL532"/>
  <c r="AL547"/>
  <c r="X548"/>
  <c r="AX572"/>
  <c r="AX588"/>
  <c r="AW606"/>
  <c r="AL610"/>
  <c r="AW620"/>
  <c r="AL621"/>
  <c r="AL632"/>
  <c r="AV644"/>
  <c r="AX650"/>
  <c r="AL652"/>
  <c r="AV656"/>
  <c r="AK653"/>
  <c r="AM192"/>
  <c r="Q34"/>
  <c r="AV51"/>
  <c r="AW51" s="1"/>
  <c r="AQ51"/>
  <c r="AL51"/>
  <c r="R94"/>
  <c r="S94"/>
  <c r="V94" s="1"/>
  <c r="Q114"/>
  <c r="R114" s="1"/>
  <c r="N87"/>
  <c r="Q87" s="1"/>
  <c r="AR171"/>
  <c r="AS171"/>
  <c r="AY171" s="1"/>
  <c r="AZ171"/>
  <c r="S34"/>
  <c r="AW86"/>
  <c r="AX91"/>
  <c r="AW131"/>
  <c r="AW148"/>
  <c r="AP28"/>
  <c r="AZ28"/>
  <c r="AL61"/>
  <c r="AV61"/>
  <c r="AW61" s="1"/>
  <c r="AQ61"/>
  <c r="R105"/>
  <c r="S105"/>
  <c r="V105" s="1"/>
  <c r="R107"/>
  <c r="S107"/>
  <c r="V107" s="1"/>
  <c r="AL109"/>
  <c r="AV109"/>
  <c r="AW109" s="1"/>
  <c r="AQ109"/>
  <c r="AL126"/>
  <c r="AV126"/>
  <c r="AW126" s="1"/>
  <c r="AQ126"/>
  <c r="AK123"/>
  <c r="AL133"/>
  <c r="AV133"/>
  <c r="AW133" s="1"/>
  <c r="AQ133"/>
  <c r="R137"/>
  <c r="S137"/>
  <c r="AW42"/>
  <c r="AX51"/>
  <c r="AX109"/>
  <c r="AW142"/>
  <c r="AQ148"/>
  <c r="P677"/>
  <c r="P33"/>
  <c r="AL39"/>
  <c r="AK35"/>
  <c r="AV39"/>
  <c r="AW39" s="1"/>
  <c r="AQ39"/>
  <c r="AL48"/>
  <c r="AV48"/>
  <c r="AW48" s="1"/>
  <c r="AQ48"/>
  <c r="AK45"/>
  <c r="R51"/>
  <c r="S51"/>
  <c r="V51" s="1"/>
  <c r="AV52"/>
  <c r="AW52" s="1"/>
  <c r="AQ52"/>
  <c r="AL52"/>
  <c r="S69"/>
  <c r="V69" s="1"/>
  <c r="R69"/>
  <c r="AL94"/>
  <c r="AK88"/>
  <c r="AV94"/>
  <c r="AW94" s="1"/>
  <c r="AQ94"/>
  <c r="AL97"/>
  <c r="AV97"/>
  <c r="AW97" s="1"/>
  <c r="AQ97"/>
  <c r="AL106"/>
  <c r="AV106"/>
  <c r="AW106" s="1"/>
  <c r="AQ106"/>
  <c r="AL117"/>
  <c r="AK114"/>
  <c r="AV117"/>
  <c r="AW117" s="1"/>
  <c r="AQ117"/>
  <c r="AX80"/>
  <c r="AW108"/>
  <c r="S136"/>
  <c r="X677"/>
  <c r="X33"/>
  <c r="AE677"/>
  <c r="AE33"/>
  <c r="AI677"/>
  <c r="AI33"/>
  <c r="AO677"/>
  <c r="AO33"/>
  <c r="AV49"/>
  <c r="AW49" s="1"/>
  <c r="AQ49"/>
  <c r="AL49"/>
  <c r="AV50"/>
  <c r="AW50" s="1"/>
  <c r="AQ50"/>
  <c r="AL50"/>
  <c r="S53"/>
  <c r="V53" s="1"/>
  <c r="R53"/>
  <c r="AK53"/>
  <c r="AL56"/>
  <c r="AV56"/>
  <c r="AW56" s="1"/>
  <c r="AQ56"/>
  <c r="AW58"/>
  <c r="AX58"/>
  <c r="AL64"/>
  <c r="AV64"/>
  <c r="AW64" s="1"/>
  <c r="AQ64"/>
  <c r="AL84"/>
  <c r="AV84"/>
  <c r="AW84" s="1"/>
  <c r="AQ84"/>
  <c r="AL101"/>
  <c r="AV101"/>
  <c r="AW101" s="1"/>
  <c r="AQ101"/>
  <c r="AL105"/>
  <c r="AK102"/>
  <c r="AV105"/>
  <c r="AW105" s="1"/>
  <c r="AQ105"/>
  <c r="AL107"/>
  <c r="AV107"/>
  <c r="AW107" s="1"/>
  <c r="AQ107"/>
  <c r="AL121"/>
  <c r="AV121"/>
  <c r="AW121" s="1"/>
  <c r="AQ121"/>
  <c r="AK118"/>
  <c r="AZ188"/>
  <c r="AR188"/>
  <c r="AS188"/>
  <c r="AY188" s="1"/>
  <c r="AX48"/>
  <c r="AX52"/>
  <c r="AX94"/>
  <c r="AX97"/>
  <c r="AX106"/>
  <c r="AX117"/>
  <c r="AX135"/>
  <c r="AL161"/>
  <c r="AC192"/>
  <c r="AM15"/>
  <c r="AO15" s="1"/>
  <c r="AP15" s="1"/>
  <c r="AC16"/>
  <c r="AP17"/>
  <c r="AP21"/>
  <c r="AP25"/>
  <c r="AZ27"/>
  <c r="AP29"/>
  <c r="AP30"/>
  <c r="L34"/>
  <c r="AC34" s="1"/>
  <c r="T34"/>
  <c r="Q35"/>
  <c r="R35" s="1"/>
  <c r="AQ41"/>
  <c r="AR42"/>
  <c r="AQ44"/>
  <c r="W45"/>
  <c r="AC45"/>
  <c r="R58"/>
  <c r="AL58"/>
  <c r="W77"/>
  <c r="AC77"/>
  <c r="AK77"/>
  <c r="AL80"/>
  <c r="AL86"/>
  <c r="M87"/>
  <c r="S87" s="1"/>
  <c r="V87" s="1"/>
  <c r="U87"/>
  <c r="AU87" s="1"/>
  <c r="W88"/>
  <c r="AL92"/>
  <c r="W102"/>
  <c r="AD114"/>
  <c r="AT114"/>
  <c r="Q117"/>
  <c r="AC118"/>
  <c r="AG118"/>
  <c r="AG87" s="1"/>
  <c r="AB122"/>
  <c r="AC123"/>
  <c r="AV137"/>
  <c r="AW137" s="1"/>
  <c r="L154"/>
  <c r="T154"/>
  <c r="U155"/>
  <c r="V168"/>
  <c r="AD168"/>
  <c r="S176"/>
  <c r="V176" s="1"/>
  <c r="AQ179"/>
  <c r="AV181"/>
  <c r="AV184"/>
  <c r="Q193"/>
  <c r="S193" s="1"/>
  <c r="AW196"/>
  <c r="AW204"/>
  <c r="AW216"/>
  <c r="AX229"/>
  <c r="AX236"/>
  <c r="AX239"/>
  <c r="AX252"/>
  <c r="AW259"/>
  <c r="AW269"/>
  <c r="S270"/>
  <c r="AX286"/>
  <c r="AX289"/>
  <c r="AW294"/>
  <c r="AW315"/>
  <c r="AW318"/>
  <c r="AW321"/>
  <c r="AL167"/>
  <c r="AV167"/>
  <c r="AW167" s="1"/>
  <c r="AQ167"/>
  <c r="AL171"/>
  <c r="AK168"/>
  <c r="AV188"/>
  <c r="AL188"/>
  <c r="AL303"/>
  <c r="AK291"/>
  <c r="AV303"/>
  <c r="AW303" s="1"/>
  <c r="AQ303"/>
  <c r="AL308"/>
  <c r="AV308"/>
  <c r="AW308" s="1"/>
  <c r="AQ308"/>
  <c r="AR332"/>
  <c r="AZ332"/>
  <c r="AS332"/>
  <c r="AY332" s="1"/>
  <c r="AP18"/>
  <c r="AP22"/>
  <c r="AP26"/>
  <c r="AF677"/>
  <c r="AJ677"/>
  <c r="AJ678" s="1"/>
  <c r="AN677"/>
  <c r="S38"/>
  <c r="V38" s="1"/>
  <c r="AS38"/>
  <c r="AY38" s="1"/>
  <c r="S42"/>
  <c r="V42" s="1"/>
  <c r="V45"/>
  <c r="AZ46"/>
  <c r="AZ47"/>
  <c r="S49"/>
  <c r="V49" s="1"/>
  <c r="U53"/>
  <c r="AU53" s="1"/>
  <c r="S62"/>
  <c r="V62" s="1"/>
  <c r="S66"/>
  <c r="V66" s="1"/>
  <c r="AS68"/>
  <c r="AY68" s="1"/>
  <c r="U69"/>
  <c r="AU69" s="1"/>
  <c r="AQ72"/>
  <c r="AV72"/>
  <c r="AW72" s="1"/>
  <c r="AQ74"/>
  <c r="AV74"/>
  <c r="AW74" s="1"/>
  <c r="AZ75"/>
  <c r="S76"/>
  <c r="V76" s="1"/>
  <c r="AQ76"/>
  <c r="AV76"/>
  <c r="AW76" s="1"/>
  <c r="V77"/>
  <c r="AZ78"/>
  <c r="AZ79"/>
  <c r="AQ82"/>
  <c r="AV82"/>
  <c r="AW82" s="1"/>
  <c r="AZ83"/>
  <c r="AZ85"/>
  <c r="V88"/>
  <c r="S91"/>
  <c r="V91" s="1"/>
  <c r="AQ96"/>
  <c r="AV96"/>
  <c r="AW96" s="1"/>
  <c r="AQ99"/>
  <c r="AV99"/>
  <c r="AW99" s="1"/>
  <c r="V102"/>
  <c r="AS108"/>
  <c r="AY108" s="1"/>
  <c r="V110"/>
  <c r="AD110"/>
  <c r="AQ113"/>
  <c r="AV113"/>
  <c r="AW113" s="1"/>
  <c r="S114"/>
  <c r="V114" s="1"/>
  <c r="AS129"/>
  <c r="AY129" s="1"/>
  <c r="AS131"/>
  <c r="AY131" s="1"/>
  <c r="S133"/>
  <c r="V133" s="1"/>
  <c r="S135"/>
  <c r="V135" s="1"/>
  <c r="L136"/>
  <c r="T136"/>
  <c r="V137"/>
  <c r="AQ137"/>
  <c r="S140"/>
  <c r="V140" s="1"/>
  <c r="AS142"/>
  <c r="AY142" s="1"/>
  <c r="AQ145"/>
  <c r="AV145"/>
  <c r="AW145" s="1"/>
  <c r="AQ147"/>
  <c r="AV147"/>
  <c r="AW147" s="1"/>
  <c r="AQ150"/>
  <c r="AV150"/>
  <c r="AW150" s="1"/>
  <c r="S153"/>
  <c r="V153" s="1"/>
  <c r="AD154"/>
  <c r="AW161"/>
  <c r="AW164"/>
  <c r="AW173"/>
  <c r="AW176"/>
  <c r="V193"/>
  <c r="AW198"/>
  <c r="AX267"/>
  <c r="AX312"/>
  <c r="AX317"/>
  <c r="AX320"/>
  <c r="AL190"/>
  <c r="AV190"/>
  <c r="AW190" s="1"/>
  <c r="AQ190"/>
  <c r="AR38"/>
  <c r="U45"/>
  <c r="AU45" s="1"/>
  <c r="AC53"/>
  <c r="AG53"/>
  <c r="AG34" s="1"/>
  <c r="AQ62"/>
  <c r="AQ66"/>
  <c r="AR68"/>
  <c r="AC69"/>
  <c r="AK69"/>
  <c r="U77"/>
  <c r="AU77" s="1"/>
  <c r="AC87"/>
  <c r="AQ91"/>
  <c r="AQ92"/>
  <c r="AR108"/>
  <c r="AC110"/>
  <c r="AK110"/>
  <c r="M122"/>
  <c r="AD122" s="1"/>
  <c r="N123"/>
  <c r="Q126"/>
  <c r="AR129"/>
  <c r="AR131"/>
  <c r="AQ135"/>
  <c r="AC136"/>
  <c r="AK136"/>
  <c r="AQ140"/>
  <c r="AR142"/>
  <c r="AW153"/>
  <c r="S155"/>
  <c r="V155" s="1"/>
  <c r="AD155"/>
  <c r="AS161"/>
  <c r="AY161" s="1"/>
  <c r="AS164"/>
  <c r="AY164" s="1"/>
  <c r="AX167"/>
  <c r="R168"/>
  <c r="AU168"/>
  <c r="AV171"/>
  <c r="S177"/>
  <c r="V177" s="1"/>
  <c r="AX177"/>
  <c r="AV179"/>
  <c r="AX180"/>
  <c r="AQ181"/>
  <c r="AX183"/>
  <c r="AQ184"/>
  <c r="AX186"/>
  <c r="AW209"/>
  <c r="AW213"/>
  <c r="AW218"/>
  <c r="AX220"/>
  <c r="AX224"/>
  <c r="AX234"/>
  <c r="AX237"/>
  <c r="AX240"/>
  <c r="AX251"/>
  <c r="AX255"/>
  <c r="AW262"/>
  <c r="AW266"/>
  <c r="AX284"/>
  <c r="AX287"/>
  <c r="AX303"/>
  <c r="AW305"/>
  <c r="AX308"/>
  <c r="AW323"/>
  <c r="AW326"/>
  <c r="AV152"/>
  <c r="AW152" s="1"/>
  <c r="AQ152"/>
  <c r="AC155"/>
  <c r="AB154"/>
  <c r="AK166"/>
  <c r="AK155" s="1"/>
  <c r="AG155"/>
  <c r="AG154" s="1"/>
  <c r="AV191"/>
  <c r="AW191" s="1"/>
  <c r="AQ191"/>
  <c r="AL257"/>
  <c r="AV257"/>
  <c r="AW257" s="1"/>
  <c r="AQ257"/>
  <c r="AK248"/>
  <c r="Y677"/>
  <c r="AP677"/>
  <c r="AQ58"/>
  <c r="AQ80"/>
  <c r="AQ86"/>
  <c r="U123"/>
  <c r="AU123" s="1"/>
  <c r="Q154"/>
  <c r="R154" s="1"/>
  <c r="S154"/>
  <c r="R155"/>
  <c r="AU155"/>
  <c r="AZ161"/>
  <c r="AZ164"/>
  <c r="V248"/>
  <c r="V270"/>
  <c r="V291"/>
  <c r="AW299"/>
  <c r="AX328"/>
  <c r="AW365"/>
  <c r="AX365"/>
  <c r="AV370"/>
  <c r="AQ370"/>
  <c r="AZ153"/>
  <c r="AZ158"/>
  <c r="AZ173"/>
  <c r="AZ176"/>
  <c r="T192"/>
  <c r="AR196"/>
  <c r="AR198"/>
  <c r="S200"/>
  <c r="V200" s="1"/>
  <c r="AV200"/>
  <c r="AW200" s="1"/>
  <c r="AR204"/>
  <c r="AQ207"/>
  <c r="AR209"/>
  <c r="AL213"/>
  <c r="AL216"/>
  <c r="AL218"/>
  <c r="AL220"/>
  <c r="AL224"/>
  <c r="AU225"/>
  <c r="AQ228"/>
  <c r="AL229"/>
  <c r="AS232"/>
  <c r="AY232" s="1"/>
  <c r="AL234"/>
  <c r="AQ236"/>
  <c r="AL237"/>
  <c r="AQ239"/>
  <c r="AL240"/>
  <c r="AQ242"/>
  <c r="AR244"/>
  <c r="AQ245"/>
  <c r="AR247"/>
  <c r="U248"/>
  <c r="AU248" s="1"/>
  <c r="AH248"/>
  <c r="AH192" s="1"/>
  <c r="AQ251"/>
  <c r="AL252"/>
  <c r="AL259"/>
  <c r="AL262"/>
  <c r="AQ264"/>
  <c r="AR266"/>
  <c r="AQ267"/>
  <c r="AR269"/>
  <c r="U270"/>
  <c r="AU270" s="1"/>
  <c r="AX270" s="1"/>
  <c r="AL270"/>
  <c r="S271"/>
  <c r="V271" s="1"/>
  <c r="AV271"/>
  <c r="AW271" s="1"/>
  <c r="AS274"/>
  <c r="AY274" s="1"/>
  <c r="AR277"/>
  <c r="AS279"/>
  <c r="AY279" s="1"/>
  <c r="AR280"/>
  <c r="AS282"/>
  <c r="AY282" s="1"/>
  <c r="AL284"/>
  <c r="AQ286"/>
  <c r="AL287"/>
  <c r="AQ289"/>
  <c r="O290"/>
  <c r="O677" s="1"/>
  <c r="T290"/>
  <c r="AB290"/>
  <c r="U291"/>
  <c r="AU291" s="1"/>
  <c r="AR294"/>
  <c r="AQ297"/>
  <c r="R299"/>
  <c r="AL299"/>
  <c r="AR301"/>
  <c r="R305"/>
  <c r="AL305"/>
  <c r="AS306"/>
  <c r="AC309"/>
  <c r="AK309"/>
  <c r="AQ312"/>
  <c r="AL315"/>
  <c r="AQ317"/>
  <c r="AL318"/>
  <c r="AQ320"/>
  <c r="AL321"/>
  <c r="AQ325"/>
  <c r="AL326"/>
  <c r="AQ328"/>
  <c r="AV329"/>
  <c r="AW329" s="1"/>
  <c r="AL332"/>
  <c r="AS336"/>
  <c r="AY336" s="1"/>
  <c r="AS347"/>
  <c r="AX350"/>
  <c r="Q351"/>
  <c r="AW354"/>
  <c r="AW385"/>
  <c r="AW388"/>
  <c r="AW398"/>
  <c r="AX412"/>
  <c r="AW423"/>
  <c r="AW426"/>
  <c r="AW434"/>
  <c r="AC351"/>
  <c r="AR354"/>
  <c r="AS354"/>
  <c r="AY354" s="1"/>
  <c r="AR437"/>
  <c r="AS437"/>
  <c r="AY437" s="1"/>
  <c r="AZ437"/>
  <c r="AZ196"/>
  <c r="AZ198"/>
  <c r="AQ200"/>
  <c r="AZ204"/>
  <c r="AZ209"/>
  <c r="AZ244"/>
  <c r="AZ247"/>
  <c r="AZ266"/>
  <c r="AZ269"/>
  <c r="AQ271"/>
  <c r="AZ277"/>
  <c r="AZ280"/>
  <c r="AZ294"/>
  <c r="AZ301"/>
  <c r="AQ329"/>
  <c r="AV332"/>
  <c r="AW332" s="1"/>
  <c r="AZ336"/>
  <c r="AW340"/>
  <c r="AW343"/>
  <c r="AZ347"/>
  <c r="AL351"/>
  <c r="AW373"/>
  <c r="AX383"/>
  <c r="R358"/>
  <c r="AD358"/>
  <c r="AL358" s="1"/>
  <c r="S358"/>
  <c r="V358" s="1"/>
  <c r="AV358"/>
  <c r="AW358" s="1"/>
  <c r="AQ358"/>
  <c r="R360"/>
  <c r="AD360"/>
  <c r="S360"/>
  <c r="V360" s="1"/>
  <c r="AZ417"/>
  <c r="AR417"/>
  <c r="AS417"/>
  <c r="AQ159"/>
  <c r="AQ162"/>
  <c r="AQ177"/>
  <c r="AQ180"/>
  <c r="AQ183"/>
  <c r="AQ186"/>
  <c r="AA192"/>
  <c r="AC193"/>
  <c r="AK193"/>
  <c r="AQ203"/>
  <c r="AQ211"/>
  <c r="AQ214"/>
  <c r="AC225"/>
  <c r="AK225"/>
  <c r="AQ255"/>
  <c r="AQ260"/>
  <c r="AD271"/>
  <c r="W291"/>
  <c r="W290" s="1"/>
  <c r="AR323"/>
  <c r="AS340"/>
  <c r="AY340" s="1"/>
  <c r="AS343"/>
  <c r="AY343" s="1"/>
  <c r="AQ351"/>
  <c r="AX355"/>
  <c r="AL360"/>
  <c r="AL371"/>
  <c r="S374"/>
  <c r="V374" s="1"/>
  <c r="AW382"/>
  <c r="AW442"/>
  <c r="AD354"/>
  <c r="S354"/>
  <c r="V354" s="1"/>
  <c r="M351"/>
  <c r="S351" s="1"/>
  <c r="V351" s="1"/>
  <c r="AW362"/>
  <c r="AX362"/>
  <c r="AQ213"/>
  <c r="AQ216"/>
  <c r="AQ218"/>
  <c r="AQ220"/>
  <c r="AK221"/>
  <c r="AQ224"/>
  <c r="AQ229"/>
  <c r="AQ234"/>
  <c r="AQ237"/>
  <c r="AQ240"/>
  <c r="AQ252"/>
  <c r="AQ259"/>
  <c r="AQ262"/>
  <c r="AQ270"/>
  <c r="AQ284"/>
  <c r="AQ287"/>
  <c r="AQ299"/>
  <c r="AQ305"/>
  <c r="AQ315"/>
  <c r="AQ318"/>
  <c r="AQ321"/>
  <c r="AQ326"/>
  <c r="AW336"/>
  <c r="AZ340"/>
  <c r="AZ343"/>
  <c r="AW347"/>
  <c r="AZ354"/>
  <c r="AX399"/>
  <c r="AX404"/>
  <c r="AX407"/>
  <c r="AX410"/>
  <c r="U444"/>
  <c r="AU444" s="1"/>
  <c r="T443"/>
  <c r="AV465"/>
  <c r="AW465" s="1"/>
  <c r="AQ465"/>
  <c r="AL465"/>
  <c r="AQ473"/>
  <c r="AV473"/>
  <c r="AL473"/>
  <c r="AV476"/>
  <c r="AW476" s="1"/>
  <c r="AQ476"/>
  <c r="AL476"/>
  <c r="AV481"/>
  <c r="AW481" s="1"/>
  <c r="AQ481"/>
  <c r="AL481"/>
  <c r="AS503"/>
  <c r="AY503" s="1"/>
  <c r="AR503"/>
  <c r="V504"/>
  <c r="U504"/>
  <c r="AU504" s="1"/>
  <c r="AV519"/>
  <c r="AW519" s="1"/>
  <c r="AQ519"/>
  <c r="AL519"/>
  <c r="AV523"/>
  <c r="AW523" s="1"/>
  <c r="AQ523"/>
  <c r="AL523"/>
  <c r="AS532"/>
  <c r="AY532" s="1"/>
  <c r="AR532"/>
  <c r="AV537"/>
  <c r="AW537" s="1"/>
  <c r="AQ537"/>
  <c r="AL537"/>
  <c r="AV544"/>
  <c r="AW544" s="1"/>
  <c r="AQ544"/>
  <c r="AL544"/>
  <c r="AS547"/>
  <c r="AY547" s="1"/>
  <c r="AR547"/>
  <c r="AQ333"/>
  <c r="AQ338"/>
  <c r="AQ350"/>
  <c r="AL354"/>
  <c r="AQ355"/>
  <c r="AZ362"/>
  <c r="S363"/>
  <c r="V363" s="1"/>
  <c r="AD363"/>
  <c r="AL363" s="1"/>
  <c r="AZ365"/>
  <c r="S366"/>
  <c r="V366" s="1"/>
  <c r="AD366"/>
  <c r="AL366" s="1"/>
  <c r="S368"/>
  <c r="V368" s="1"/>
  <c r="AD368"/>
  <c r="AL368" s="1"/>
  <c r="AL388"/>
  <c r="AQ388" s="1"/>
  <c r="AZ391"/>
  <c r="AZ393"/>
  <c r="AC395"/>
  <c r="AK395"/>
  <c r="AD417"/>
  <c r="AL417"/>
  <c r="AZ420"/>
  <c r="AZ425"/>
  <c r="AR439"/>
  <c r="AL442"/>
  <c r="AD457"/>
  <c r="AW472"/>
  <c r="AD504"/>
  <c r="AW521"/>
  <c r="S529"/>
  <c r="V529" s="1"/>
  <c r="AX532"/>
  <c r="AX547"/>
  <c r="Q548"/>
  <c r="AC443"/>
  <c r="AS472"/>
  <c r="AY472" s="1"/>
  <c r="AR472"/>
  <c r="U473"/>
  <c r="AU473" s="1"/>
  <c r="AX473" s="1"/>
  <c r="AC487"/>
  <c r="AV490"/>
  <c r="AQ490"/>
  <c r="AL490"/>
  <c r="AK487"/>
  <c r="AV495"/>
  <c r="AQ495"/>
  <c r="AL495"/>
  <c r="AS521"/>
  <c r="AY521" s="1"/>
  <c r="AR521"/>
  <c r="AQ360"/>
  <c r="AV360"/>
  <c r="AW360" s="1"/>
  <c r="R363"/>
  <c r="AQ363"/>
  <c r="AV363"/>
  <c r="AW363" s="1"/>
  <c r="R366"/>
  <c r="AQ366"/>
  <c r="AV366"/>
  <c r="AW366" s="1"/>
  <c r="R368"/>
  <c r="AQ368"/>
  <c r="AV368"/>
  <c r="AW368" s="1"/>
  <c r="U370"/>
  <c r="AU370" s="1"/>
  <c r="AX370" s="1"/>
  <c r="AD370"/>
  <c r="AL370" s="1"/>
  <c r="U371"/>
  <c r="AU371" s="1"/>
  <c r="AX371" s="1"/>
  <c r="AS371"/>
  <c r="AY371" s="1"/>
  <c r="S373"/>
  <c r="V373" s="1"/>
  <c r="AS382"/>
  <c r="AY382" s="1"/>
  <c r="AS385"/>
  <c r="AY385" s="1"/>
  <c r="AQ389"/>
  <c r="AV389"/>
  <c r="AW389" s="1"/>
  <c r="AQ394"/>
  <c r="AV394"/>
  <c r="AW394" s="1"/>
  <c r="S395"/>
  <c r="V395" s="1"/>
  <c r="AS398"/>
  <c r="AY398" s="1"/>
  <c r="AQ402"/>
  <c r="AV402"/>
  <c r="AW402" s="1"/>
  <c r="AQ405"/>
  <c r="AV405"/>
  <c r="AW405" s="1"/>
  <c r="AQ408"/>
  <c r="AV408"/>
  <c r="AW408" s="1"/>
  <c r="AS415"/>
  <c r="AY415" s="1"/>
  <c r="M416"/>
  <c r="S416" s="1"/>
  <c r="V416" s="1"/>
  <c r="AM416"/>
  <c r="AM33" s="1"/>
  <c r="AS423"/>
  <c r="AY423" s="1"/>
  <c r="AS426"/>
  <c r="AY426" s="1"/>
  <c r="AW428"/>
  <c r="AQ434"/>
  <c r="AW439"/>
  <c r="AZ442"/>
  <c r="Q444"/>
  <c r="AC444"/>
  <c r="AW467"/>
  <c r="S473"/>
  <c r="V473" s="1"/>
  <c r="AD473"/>
  <c r="AW483"/>
  <c r="AW486"/>
  <c r="AX503"/>
  <c r="AW512"/>
  <c r="AW513"/>
  <c r="AW525"/>
  <c r="AW528"/>
  <c r="AV432"/>
  <c r="AW432" s="1"/>
  <c r="AQ432"/>
  <c r="AS469"/>
  <c r="AY469" s="1"/>
  <c r="AR469"/>
  <c r="AS485"/>
  <c r="AY485" s="1"/>
  <c r="AR485"/>
  <c r="AS512"/>
  <c r="AY512" s="1"/>
  <c r="AR512"/>
  <c r="AS515"/>
  <c r="AY515" s="1"/>
  <c r="AR515"/>
  <c r="AS527"/>
  <c r="AY527" s="1"/>
  <c r="AR527"/>
  <c r="AV540"/>
  <c r="AW540" s="1"/>
  <c r="AQ540"/>
  <c r="AL540"/>
  <c r="AC548"/>
  <c r="R549"/>
  <c r="S549"/>
  <c r="AR560"/>
  <c r="AS560"/>
  <c r="AQ342"/>
  <c r="AQ345"/>
  <c r="S371"/>
  <c r="V371" s="1"/>
  <c r="AR371"/>
  <c r="AQ373"/>
  <c r="AQ380"/>
  <c r="AR382"/>
  <c r="AQ383"/>
  <c r="AR385"/>
  <c r="AQ386"/>
  <c r="AR398"/>
  <c r="AQ399"/>
  <c r="AQ404"/>
  <c r="AQ407"/>
  <c r="AQ410"/>
  <c r="AQ412"/>
  <c r="AR415"/>
  <c r="AR423"/>
  <c r="AR426"/>
  <c r="AZ428"/>
  <c r="AL430"/>
  <c r="AV430"/>
  <c r="AW430" s="1"/>
  <c r="AL434"/>
  <c r="AX436"/>
  <c r="AZ436"/>
  <c r="AS442"/>
  <c r="AY442" s="1"/>
  <c r="AA443"/>
  <c r="AD443" s="1"/>
  <c r="AG443"/>
  <c r="AK444"/>
  <c r="S457"/>
  <c r="V457" s="1"/>
  <c r="AU457"/>
  <c r="AX462"/>
  <c r="AX469"/>
  <c r="AX485"/>
  <c r="AW497"/>
  <c r="AW499"/>
  <c r="AZ503"/>
  <c r="AX515"/>
  <c r="AX522"/>
  <c r="AX527"/>
  <c r="AW538"/>
  <c r="AW545"/>
  <c r="AZ547"/>
  <c r="AV429"/>
  <c r="AW429" s="1"/>
  <c r="AQ429"/>
  <c r="AV460"/>
  <c r="AQ460"/>
  <c r="AL460"/>
  <c r="AK457"/>
  <c r="AS499"/>
  <c r="AY499" s="1"/>
  <c r="AR499"/>
  <c r="AQ504"/>
  <c r="AV504"/>
  <c r="AW504" s="1"/>
  <c r="AL504"/>
  <c r="AV507"/>
  <c r="AQ507"/>
  <c r="AL507"/>
  <c r="AV535"/>
  <c r="AQ535"/>
  <c r="AK529"/>
  <c r="AL535"/>
  <c r="AS538"/>
  <c r="AY538" s="1"/>
  <c r="AR538"/>
  <c r="AV542"/>
  <c r="AQ542"/>
  <c r="AL542"/>
  <c r="AS545"/>
  <c r="AY545" s="1"/>
  <c r="AR545"/>
  <c r="V549"/>
  <c r="U549"/>
  <c r="AU549" s="1"/>
  <c r="T548"/>
  <c r="AR552"/>
  <c r="AS552"/>
  <c r="AV558"/>
  <c r="AW558" s="1"/>
  <c r="AQ558"/>
  <c r="AK549"/>
  <c r="AL558"/>
  <c r="U395"/>
  <c r="AU395" s="1"/>
  <c r="AW437"/>
  <c r="AD548"/>
  <c r="AV564"/>
  <c r="AW564" s="1"/>
  <c r="AQ564"/>
  <c r="AV568"/>
  <c r="AW568" s="1"/>
  <c r="AQ568"/>
  <c r="R570"/>
  <c r="S570"/>
  <c r="V570" s="1"/>
  <c r="AR572"/>
  <c r="AS572"/>
  <c r="AY572" s="1"/>
  <c r="AR577"/>
  <c r="AS577"/>
  <c r="AY577" s="1"/>
  <c r="AR588"/>
  <c r="AS588"/>
  <c r="AK636"/>
  <c r="AL643"/>
  <c r="AV643"/>
  <c r="AW643" s="1"/>
  <c r="AQ643"/>
  <c r="AW647"/>
  <c r="AX647"/>
  <c r="AW659"/>
  <c r="AX659"/>
  <c r="AQ462"/>
  <c r="AQ467"/>
  <c r="AS471"/>
  <c r="AY471" s="1"/>
  <c r="AS479"/>
  <c r="AY479" s="1"/>
  <c r="AQ483"/>
  <c r="AQ486"/>
  <c r="AS493"/>
  <c r="AY493" s="1"/>
  <c r="AQ497"/>
  <c r="AS501"/>
  <c r="AY501" s="1"/>
  <c r="AS510"/>
  <c r="AY510" s="1"/>
  <c r="AQ513"/>
  <c r="AS517"/>
  <c r="AY517" s="1"/>
  <c r="AS520"/>
  <c r="AY520" s="1"/>
  <c r="AQ522"/>
  <c r="AQ525"/>
  <c r="AQ528"/>
  <c r="AX560"/>
  <c r="AZ572"/>
  <c r="R574"/>
  <c r="AX574"/>
  <c r="AZ577"/>
  <c r="AL585"/>
  <c r="AW585"/>
  <c r="AX592"/>
  <c r="AX601"/>
  <c r="AW602"/>
  <c r="AX606"/>
  <c r="AX645"/>
  <c r="AR574"/>
  <c r="AS574"/>
  <c r="AY574" s="1"/>
  <c r="AR592"/>
  <c r="AS592"/>
  <c r="AY592" s="1"/>
  <c r="AR601"/>
  <c r="AS601"/>
  <c r="AY601" s="1"/>
  <c r="AW644"/>
  <c r="AX644"/>
  <c r="AW656"/>
  <c r="AX656"/>
  <c r="AZ574"/>
  <c r="AL582"/>
  <c r="AX593"/>
  <c r="AW604"/>
  <c r="AX620"/>
  <c r="AL556"/>
  <c r="AV556"/>
  <c r="AW556" s="1"/>
  <c r="AQ556"/>
  <c r="AL559"/>
  <c r="AV559"/>
  <c r="AW559" s="1"/>
  <c r="AQ559"/>
  <c r="AV561"/>
  <c r="AW561" s="1"/>
  <c r="AQ561"/>
  <c r="AV566"/>
  <c r="AW566" s="1"/>
  <c r="AQ566"/>
  <c r="AC578"/>
  <c r="AL591"/>
  <c r="AV591"/>
  <c r="AW591" s="1"/>
  <c r="AQ591"/>
  <c r="AR599"/>
  <c r="AS599"/>
  <c r="AY599" s="1"/>
  <c r="AW610"/>
  <c r="AX610"/>
  <c r="AW616"/>
  <c r="AX616"/>
  <c r="AW632"/>
  <c r="AX632"/>
  <c r="AL670"/>
  <c r="AV670"/>
  <c r="AW670" s="1"/>
  <c r="AQ670"/>
  <c r="AX563"/>
  <c r="AW572"/>
  <c r="AW577"/>
  <c r="AL589"/>
  <c r="AL553"/>
  <c r="AV553"/>
  <c r="AW553" s="1"/>
  <c r="AQ553"/>
  <c r="AR563"/>
  <c r="AS563"/>
  <c r="AY563" s="1"/>
  <c r="AV570"/>
  <c r="AW570" s="1"/>
  <c r="AQ570"/>
  <c r="AV575"/>
  <c r="AW575" s="1"/>
  <c r="AQ575"/>
  <c r="AL581"/>
  <c r="AK578"/>
  <c r="AV581"/>
  <c r="AW581" s="1"/>
  <c r="AQ581"/>
  <c r="AR595"/>
  <c r="AS595"/>
  <c r="AR597"/>
  <c r="AS597"/>
  <c r="AY597" s="1"/>
  <c r="R606"/>
  <c r="S606"/>
  <c r="V606" s="1"/>
  <c r="AW629"/>
  <c r="AX629"/>
  <c r="AW634"/>
  <c r="AX634"/>
  <c r="AW641"/>
  <c r="AX641"/>
  <c r="AL653"/>
  <c r="AQ653"/>
  <c r="AV653"/>
  <c r="AW668"/>
  <c r="AX668"/>
  <c r="AD549"/>
  <c r="AW552"/>
  <c r="AZ563"/>
  <c r="AW587"/>
  <c r="AX643"/>
  <c r="AC607"/>
  <c r="AK607"/>
  <c r="AS611"/>
  <c r="AY611" s="1"/>
  <c r="AS614"/>
  <c r="AY614" s="1"/>
  <c r="AS617"/>
  <c r="AS619"/>
  <c r="AY619" s="1"/>
  <c r="AQ621"/>
  <c r="AV621"/>
  <c r="AW621" s="1"/>
  <c r="AS625"/>
  <c r="AS627"/>
  <c r="AY627" s="1"/>
  <c r="AQ631"/>
  <c r="AV631"/>
  <c r="AW631" s="1"/>
  <c r="S638"/>
  <c r="V638" s="1"/>
  <c r="S645"/>
  <c r="V645" s="1"/>
  <c r="S649"/>
  <c r="V649" s="1"/>
  <c r="AQ649"/>
  <c r="AV649"/>
  <c r="AW649" s="1"/>
  <c r="AS650"/>
  <c r="AY650" s="1"/>
  <c r="AQ652"/>
  <c r="AV652"/>
  <c r="AW652" s="1"/>
  <c r="S653"/>
  <c r="V653" s="1"/>
  <c r="AQ658"/>
  <c r="AV658"/>
  <c r="AW658" s="1"/>
  <c r="AS662"/>
  <c r="AY662" s="1"/>
  <c r="AS664"/>
  <c r="AY664" s="1"/>
  <c r="AQ665"/>
  <c r="AV665"/>
  <c r="AW665" s="1"/>
  <c r="AQ667"/>
  <c r="AV667"/>
  <c r="AW667" s="1"/>
  <c r="AS673"/>
  <c r="AY673" s="1"/>
  <c r="AS582"/>
  <c r="AY582" s="1"/>
  <c r="AS585"/>
  <c r="AY585" s="1"/>
  <c r="AS587"/>
  <c r="AY587" s="1"/>
  <c r="AS589"/>
  <c r="AY589" s="1"/>
  <c r="AQ593"/>
  <c r="AQ602"/>
  <c r="AQ604"/>
  <c r="AQ606"/>
  <c r="S607"/>
  <c r="V607" s="1"/>
  <c r="AS610"/>
  <c r="AY610" s="1"/>
  <c r="AR611"/>
  <c r="AR614"/>
  <c r="AS616"/>
  <c r="AY616" s="1"/>
  <c r="AR617"/>
  <c r="AR619"/>
  <c r="AQ620"/>
  <c r="AQ623"/>
  <c r="AR625"/>
  <c r="AR627"/>
  <c r="AS629"/>
  <c r="AY629" s="1"/>
  <c r="AS632"/>
  <c r="AS634"/>
  <c r="AY634" s="1"/>
  <c r="M635"/>
  <c r="AD635" s="1"/>
  <c r="N636"/>
  <c r="AQ638"/>
  <c r="AS641"/>
  <c r="AY641" s="1"/>
  <c r="Q643"/>
  <c r="AS644"/>
  <c r="AY644" s="1"/>
  <c r="AQ645"/>
  <c r="AS647"/>
  <c r="AY647" s="1"/>
  <c r="AR650"/>
  <c r="AS656"/>
  <c r="AY656" s="1"/>
  <c r="AL658"/>
  <c r="AR662"/>
  <c r="AR664"/>
  <c r="AS668"/>
  <c r="AY668" s="1"/>
  <c r="AQ672"/>
  <c r="AR673"/>
  <c r="U636"/>
  <c r="AU636" s="1"/>
  <c r="U653"/>
  <c r="AU653" s="1"/>
  <c r="AX653" s="1"/>
  <c r="AZ493" l="1"/>
  <c r="AR493"/>
  <c r="AS176"/>
  <c r="AY176" s="1"/>
  <c r="AR176"/>
  <c r="AR428"/>
  <c r="AS428"/>
  <c r="AY428" s="1"/>
  <c r="AL15"/>
  <c r="AC15"/>
  <c r="AZ668"/>
  <c r="AR668"/>
  <c r="AA677"/>
  <c r="AB677"/>
  <c r="S192"/>
  <c r="V192" s="1"/>
  <c r="AX277"/>
  <c r="AX301"/>
  <c r="AX203"/>
  <c r="Z677"/>
  <c r="AZ501"/>
  <c r="AR501"/>
  <c r="AZ656"/>
  <c r="AR656"/>
  <c r="AZ585"/>
  <c r="AR585"/>
  <c r="AS420"/>
  <c r="AY420" s="1"/>
  <c r="AR420"/>
  <c r="AZ641"/>
  <c r="AR641"/>
  <c r="AJ33"/>
  <c r="AX479"/>
  <c r="Q443"/>
  <c r="AX140"/>
  <c r="S578"/>
  <c r="V578" s="1"/>
  <c r="R578"/>
  <c r="AZ510"/>
  <c r="AR510"/>
  <c r="S670"/>
  <c r="V670" s="1"/>
  <c r="R670"/>
  <c r="AV417"/>
  <c r="AK416"/>
  <c r="AL377"/>
  <c r="AK374"/>
  <c r="AQ377"/>
  <c r="AV377"/>
  <c r="AV672"/>
  <c r="AL672"/>
  <c r="AZ634"/>
  <c r="AR634"/>
  <c r="Q192"/>
  <c r="AX280"/>
  <c r="AZ520"/>
  <c r="AR520"/>
  <c r="AZ471"/>
  <c r="AR471"/>
  <c r="AZ232"/>
  <c r="AR232"/>
  <c r="AZ644"/>
  <c r="AR644"/>
  <c r="AS393"/>
  <c r="AR393"/>
  <c r="AS362"/>
  <c r="AY362" s="1"/>
  <c r="AR362"/>
  <c r="AS173"/>
  <c r="AY173" s="1"/>
  <c r="AR173"/>
  <c r="AL413"/>
  <c r="AV413"/>
  <c r="AQ413"/>
  <c r="AZ629"/>
  <c r="AR629"/>
  <c r="AS439"/>
  <c r="AY439" s="1"/>
  <c r="AZ439"/>
  <c r="W87"/>
  <c r="AX68"/>
  <c r="AX38"/>
  <c r="AH33"/>
  <c r="AH677"/>
  <c r="AQ155"/>
  <c r="AV155"/>
  <c r="AW155" s="1"/>
  <c r="AL155"/>
  <c r="AK154"/>
  <c r="AG677"/>
  <c r="AG33"/>
  <c r="AG31" s="1"/>
  <c r="AX123"/>
  <c r="AS602"/>
  <c r="AZ602"/>
  <c r="AR602"/>
  <c r="AR667"/>
  <c r="AS667"/>
  <c r="AY667" s="1"/>
  <c r="AZ667"/>
  <c r="AR649"/>
  <c r="AS649"/>
  <c r="AY649" s="1"/>
  <c r="AZ649"/>
  <c r="AL607"/>
  <c r="AV607"/>
  <c r="AQ607"/>
  <c r="AZ581"/>
  <c r="AR581"/>
  <c r="AS581"/>
  <c r="AY581" s="1"/>
  <c r="AZ575"/>
  <c r="AR575"/>
  <c r="AS575"/>
  <c r="AY575" s="1"/>
  <c r="AR525"/>
  <c r="AS525"/>
  <c r="AY525" s="1"/>
  <c r="AZ525"/>
  <c r="AR513"/>
  <c r="AS513"/>
  <c r="AY513" s="1"/>
  <c r="AZ513"/>
  <c r="AZ558"/>
  <c r="AR558"/>
  <c r="AS558"/>
  <c r="AY558" s="1"/>
  <c r="U548"/>
  <c r="AU548" s="1"/>
  <c r="AZ535"/>
  <c r="AR535"/>
  <c r="AS535"/>
  <c r="AY535" s="1"/>
  <c r="AW507"/>
  <c r="AX507"/>
  <c r="AZ460"/>
  <c r="AR460"/>
  <c r="AS460"/>
  <c r="AY460" s="1"/>
  <c r="AZ412"/>
  <c r="AR412"/>
  <c r="AS412"/>
  <c r="AY412" s="1"/>
  <c r="AZ399"/>
  <c r="AR399"/>
  <c r="AS399"/>
  <c r="AY399" s="1"/>
  <c r="AZ383"/>
  <c r="AR383"/>
  <c r="AS383"/>
  <c r="AY383" s="1"/>
  <c r="AZ373"/>
  <c r="AR373"/>
  <c r="AS373"/>
  <c r="AY373" s="1"/>
  <c r="AZ342"/>
  <c r="AS342"/>
  <c r="AY342" s="1"/>
  <c r="AR342"/>
  <c r="AZ540"/>
  <c r="AR540"/>
  <c r="AS540"/>
  <c r="AY540" s="1"/>
  <c r="AZ432"/>
  <c r="AS432"/>
  <c r="AY432" s="1"/>
  <c r="AR432"/>
  <c r="AS405"/>
  <c r="AY405" s="1"/>
  <c r="AZ405"/>
  <c r="AR405"/>
  <c r="AS389"/>
  <c r="AY389" s="1"/>
  <c r="AZ389"/>
  <c r="AR389"/>
  <c r="AS360"/>
  <c r="AY360" s="1"/>
  <c r="AZ360"/>
  <c r="AR360"/>
  <c r="AZ495"/>
  <c r="AR495"/>
  <c r="AS495"/>
  <c r="AY495" s="1"/>
  <c r="AZ490"/>
  <c r="AR490"/>
  <c r="AS490"/>
  <c r="AY490" s="1"/>
  <c r="AS355"/>
  <c r="AY355" s="1"/>
  <c r="AZ355"/>
  <c r="AR355"/>
  <c r="AS333"/>
  <c r="AY333" s="1"/>
  <c r="AZ333"/>
  <c r="AR333"/>
  <c r="AZ544"/>
  <c r="AR544"/>
  <c r="AS544"/>
  <c r="AY544" s="1"/>
  <c r="AZ523"/>
  <c r="AR523"/>
  <c r="AS523"/>
  <c r="AY523" s="1"/>
  <c r="AZ315"/>
  <c r="AR315"/>
  <c r="AS315"/>
  <c r="AY315" s="1"/>
  <c r="AZ284"/>
  <c r="AR284"/>
  <c r="AS284"/>
  <c r="AY284" s="1"/>
  <c r="AZ252"/>
  <c r="AR252"/>
  <c r="AS252"/>
  <c r="AY252" s="1"/>
  <c r="AZ229"/>
  <c r="AR229"/>
  <c r="AS229"/>
  <c r="AY229" s="1"/>
  <c r="AZ218"/>
  <c r="AR218"/>
  <c r="AS218"/>
  <c r="AZ351"/>
  <c r="AR351"/>
  <c r="AZ260"/>
  <c r="AR260"/>
  <c r="AS260"/>
  <c r="AY260" s="1"/>
  <c r="AZ214"/>
  <c r="AR214"/>
  <c r="AS214"/>
  <c r="AY214" s="1"/>
  <c r="AZ180"/>
  <c r="AS180"/>
  <c r="AY180" s="1"/>
  <c r="AR180"/>
  <c r="AY417"/>
  <c r="BA417"/>
  <c r="BB347"/>
  <c r="AY347"/>
  <c r="AR328"/>
  <c r="AS328"/>
  <c r="AY328" s="1"/>
  <c r="AZ328"/>
  <c r="AR320"/>
  <c r="AS320"/>
  <c r="AY320" s="1"/>
  <c r="AZ320"/>
  <c r="AR312"/>
  <c r="AS312"/>
  <c r="AY312" s="1"/>
  <c r="AZ312"/>
  <c r="AC290"/>
  <c r="AZ370"/>
  <c r="AR370"/>
  <c r="AS370"/>
  <c r="AY370" s="1"/>
  <c r="AZ80"/>
  <c r="AR80"/>
  <c r="AS80"/>
  <c r="AY80" s="1"/>
  <c r="AR181"/>
  <c r="AZ181"/>
  <c r="AS181"/>
  <c r="AY181" s="1"/>
  <c r="AL136"/>
  <c r="AV136"/>
  <c r="AQ136"/>
  <c r="AZ92"/>
  <c r="AR92"/>
  <c r="AS92"/>
  <c r="AY92" s="1"/>
  <c r="AV69"/>
  <c r="AW69" s="1"/>
  <c r="AL69"/>
  <c r="AQ69"/>
  <c r="AZ62"/>
  <c r="AR62"/>
  <c r="AS62"/>
  <c r="AY62" s="1"/>
  <c r="V136"/>
  <c r="AD136"/>
  <c r="U136"/>
  <c r="AU136" s="1"/>
  <c r="AX136" s="1"/>
  <c r="AS72"/>
  <c r="AY72" s="1"/>
  <c r="AZ72"/>
  <c r="AR72"/>
  <c r="AR308"/>
  <c r="AS308"/>
  <c r="AY308" s="1"/>
  <c r="AZ308"/>
  <c r="AW188"/>
  <c r="AX188"/>
  <c r="AR179"/>
  <c r="AS179"/>
  <c r="AY179" s="1"/>
  <c r="AZ179"/>
  <c r="R117"/>
  <c r="S117"/>
  <c r="V117" s="1"/>
  <c r="AR121"/>
  <c r="AS121"/>
  <c r="AY121" s="1"/>
  <c r="AZ121"/>
  <c r="AL102"/>
  <c r="AQ102"/>
  <c r="AV102"/>
  <c r="AR64"/>
  <c r="AS64"/>
  <c r="AY64" s="1"/>
  <c r="AZ64"/>
  <c r="AV53"/>
  <c r="AW53" s="1"/>
  <c r="AL53"/>
  <c r="AQ53"/>
  <c r="AZ50"/>
  <c r="AR50"/>
  <c r="AS50"/>
  <c r="AY50" s="1"/>
  <c r="AZ52"/>
  <c r="AR52"/>
  <c r="AS52"/>
  <c r="AY52" s="1"/>
  <c r="AL45"/>
  <c r="AQ45"/>
  <c r="AV45"/>
  <c r="AW45" s="1"/>
  <c r="AR39"/>
  <c r="AS39"/>
  <c r="AY39" s="1"/>
  <c r="AZ39"/>
  <c r="AS148"/>
  <c r="AY148" s="1"/>
  <c r="AZ148"/>
  <c r="AR61"/>
  <c r="AS61"/>
  <c r="AY61" s="1"/>
  <c r="AZ61"/>
  <c r="AZ51"/>
  <c r="AR51"/>
  <c r="AS51"/>
  <c r="AY51" s="1"/>
  <c r="AX566"/>
  <c r="AX568"/>
  <c r="AW473"/>
  <c r="AX537"/>
  <c r="AX465"/>
  <c r="AX432"/>
  <c r="AX368"/>
  <c r="AX430"/>
  <c r="AX394"/>
  <c r="AS351"/>
  <c r="U416"/>
  <c r="AU416" s="1"/>
  <c r="AD351"/>
  <c r="AX271"/>
  <c r="Q290"/>
  <c r="W34"/>
  <c r="AQ15"/>
  <c r="AR15" s="1"/>
  <c r="AX137"/>
  <c r="U122"/>
  <c r="AU122" s="1"/>
  <c r="AX101"/>
  <c r="AX56"/>
  <c r="AD87"/>
  <c r="AX74"/>
  <c r="AM677"/>
  <c r="AX133"/>
  <c r="AX96"/>
  <c r="AX61"/>
  <c r="AX39"/>
  <c r="S643"/>
  <c r="R643"/>
  <c r="AS604"/>
  <c r="AY604" s="1"/>
  <c r="AZ604"/>
  <c r="AR604"/>
  <c r="AR631"/>
  <c r="AS631"/>
  <c r="AY631" s="1"/>
  <c r="AZ631"/>
  <c r="AR621"/>
  <c r="AS621"/>
  <c r="AY621" s="1"/>
  <c r="AZ621"/>
  <c r="AZ670"/>
  <c r="AR670"/>
  <c r="AS670"/>
  <c r="AY670" s="1"/>
  <c r="AZ566"/>
  <c r="AR566"/>
  <c r="AS566"/>
  <c r="AZ559"/>
  <c r="AS559"/>
  <c r="AY559" s="1"/>
  <c r="AR559"/>
  <c r="AR528"/>
  <c r="AS528"/>
  <c r="AY528" s="1"/>
  <c r="AZ528"/>
  <c r="AR497"/>
  <c r="AS497"/>
  <c r="AY497" s="1"/>
  <c r="AZ497"/>
  <c r="AS643"/>
  <c r="AY643" s="1"/>
  <c r="AZ643"/>
  <c r="AR643"/>
  <c r="AY588"/>
  <c r="BA588"/>
  <c r="AZ568"/>
  <c r="AR568"/>
  <c r="AS568"/>
  <c r="AY568" s="1"/>
  <c r="AL549"/>
  <c r="AV549"/>
  <c r="AW549" s="1"/>
  <c r="AK548"/>
  <c r="AQ549"/>
  <c r="AW542"/>
  <c r="AX542"/>
  <c r="AL529"/>
  <c r="AV529"/>
  <c r="AQ529"/>
  <c r="AZ507"/>
  <c r="AR507"/>
  <c r="AS507"/>
  <c r="AY507" s="1"/>
  <c r="AZ504"/>
  <c r="AR504"/>
  <c r="AS504"/>
  <c r="AZ404"/>
  <c r="AR404"/>
  <c r="AS404"/>
  <c r="AY404" s="1"/>
  <c r="AZ345"/>
  <c r="AS345"/>
  <c r="AY345" s="1"/>
  <c r="AR345"/>
  <c r="R444"/>
  <c r="S444"/>
  <c r="V444" s="1"/>
  <c r="AS368"/>
  <c r="AY368" s="1"/>
  <c r="AZ368"/>
  <c r="AR368"/>
  <c r="AS338"/>
  <c r="AY338" s="1"/>
  <c r="AZ338"/>
  <c r="AR338"/>
  <c r="AZ537"/>
  <c r="AR537"/>
  <c r="AS537"/>
  <c r="AY537" s="1"/>
  <c r="AZ519"/>
  <c r="AR519"/>
  <c r="AS519"/>
  <c r="AY519" s="1"/>
  <c r="AZ465"/>
  <c r="AR465"/>
  <c r="AS465"/>
  <c r="AY465" s="1"/>
  <c r="AZ318"/>
  <c r="AR318"/>
  <c r="AS318"/>
  <c r="AY318" s="1"/>
  <c r="AZ287"/>
  <c r="AR287"/>
  <c r="AS287"/>
  <c r="AY287" s="1"/>
  <c r="AZ259"/>
  <c r="AR259"/>
  <c r="AS259"/>
  <c r="AY259" s="1"/>
  <c r="AZ234"/>
  <c r="AR234"/>
  <c r="AS234"/>
  <c r="AY234" s="1"/>
  <c r="AZ220"/>
  <c r="AR220"/>
  <c r="AS220"/>
  <c r="AY220" s="1"/>
  <c r="AV193"/>
  <c r="AL193"/>
  <c r="AQ193"/>
  <c r="AK192"/>
  <c r="AZ183"/>
  <c r="AS183"/>
  <c r="AY183" s="1"/>
  <c r="AR183"/>
  <c r="AZ159"/>
  <c r="AS159"/>
  <c r="AY159" s="1"/>
  <c r="AR159"/>
  <c r="AY306"/>
  <c r="BB306"/>
  <c r="AR289"/>
  <c r="AS289"/>
  <c r="AY289" s="1"/>
  <c r="AZ289"/>
  <c r="AR264"/>
  <c r="AS264"/>
  <c r="AY264" s="1"/>
  <c r="AZ264"/>
  <c r="AR251"/>
  <c r="AS251"/>
  <c r="AY251" s="1"/>
  <c r="AZ251"/>
  <c r="AR245"/>
  <c r="AS245"/>
  <c r="AY245" s="1"/>
  <c r="AZ245"/>
  <c r="AR239"/>
  <c r="AS239"/>
  <c r="AY239" s="1"/>
  <c r="AZ239"/>
  <c r="U192"/>
  <c r="AU192" s="1"/>
  <c r="AZ86"/>
  <c r="AR86"/>
  <c r="AS86"/>
  <c r="AZ257"/>
  <c r="AR257"/>
  <c r="AS257"/>
  <c r="AY257" s="1"/>
  <c r="AZ140"/>
  <c r="AR140"/>
  <c r="AS140"/>
  <c r="AY140" s="1"/>
  <c r="AZ66"/>
  <c r="AR66"/>
  <c r="AS66"/>
  <c r="AY66" s="1"/>
  <c r="AS150"/>
  <c r="AY150" s="1"/>
  <c r="AZ150"/>
  <c r="AR150"/>
  <c r="AS145"/>
  <c r="AY145" s="1"/>
  <c r="AZ145"/>
  <c r="AR145"/>
  <c r="AS113"/>
  <c r="AY113" s="1"/>
  <c r="AZ113"/>
  <c r="AR113"/>
  <c r="AS96"/>
  <c r="AY96" s="1"/>
  <c r="AZ96"/>
  <c r="AR96"/>
  <c r="AR303"/>
  <c r="AS303"/>
  <c r="AY303" s="1"/>
  <c r="AZ303"/>
  <c r="AS167"/>
  <c r="AY167" s="1"/>
  <c r="AZ167"/>
  <c r="AR167"/>
  <c r="AW181"/>
  <c r="AX181"/>
  <c r="AR41"/>
  <c r="AS41"/>
  <c r="AY41" s="1"/>
  <c r="AZ41"/>
  <c r="L677"/>
  <c r="AC677" s="1"/>
  <c r="AZ34"/>
  <c r="L33"/>
  <c r="AL118"/>
  <c r="AQ118"/>
  <c r="AV118"/>
  <c r="AS107"/>
  <c r="AY107" s="1"/>
  <c r="AZ107"/>
  <c r="AR107"/>
  <c r="AZ49"/>
  <c r="AR49"/>
  <c r="AS49"/>
  <c r="AY49" s="1"/>
  <c r="AR117"/>
  <c r="AS117"/>
  <c r="AY117" s="1"/>
  <c r="AZ117"/>
  <c r="AR106"/>
  <c r="AS106"/>
  <c r="AY106" s="1"/>
  <c r="AZ106"/>
  <c r="AL88"/>
  <c r="AK87"/>
  <c r="AQ88"/>
  <c r="AV88"/>
  <c r="R34"/>
  <c r="AX665"/>
  <c r="AX631"/>
  <c r="AX581"/>
  <c r="AX564"/>
  <c r="AX570"/>
  <c r="AX558"/>
  <c r="AX476"/>
  <c r="AX389"/>
  <c r="AX402"/>
  <c r="AX358"/>
  <c r="AX329"/>
  <c r="AX200"/>
  <c r="AX145"/>
  <c r="AX152"/>
  <c r="AX76"/>
  <c r="AX105"/>
  <c r="AX84"/>
  <c r="AX64"/>
  <c r="AX49"/>
  <c r="R87"/>
  <c r="Q636"/>
  <c r="N635"/>
  <c r="Q635" s="1"/>
  <c r="R635" s="1"/>
  <c r="AS620"/>
  <c r="AY620" s="1"/>
  <c r="AZ620"/>
  <c r="AR620"/>
  <c r="AS606"/>
  <c r="AY606" s="1"/>
  <c r="AZ606"/>
  <c r="AR606"/>
  <c r="AR665"/>
  <c r="AS665"/>
  <c r="AY665" s="1"/>
  <c r="AZ665"/>
  <c r="AR658"/>
  <c r="AS658"/>
  <c r="AY658" s="1"/>
  <c r="AZ658"/>
  <c r="AS653"/>
  <c r="AY653" s="1"/>
  <c r="AZ653"/>
  <c r="AR653"/>
  <c r="AY595"/>
  <c r="BA595"/>
  <c r="AL578"/>
  <c r="AV578"/>
  <c r="AQ578"/>
  <c r="AZ570"/>
  <c r="AR570"/>
  <c r="AS570"/>
  <c r="AY570" s="1"/>
  <c r="AZ553"/>
  <c r="AR553"/>
  <c r="AS553"/>
  <c r="AY553" s="1"/>
  <c r="AR591"/>
  <c r="AZ591"/>
  <c r="AS591"/>
  <c r="AZ556"/>
  <c r="AS556"/>
  <c r="AY556" s="1"/>
  <c r="AR556"/>
  <c r="AR483"/>
  <c r="AS483"/>
  <c r="AY483" s="1"/>
  <c r="AZ483"/>
  <c r="AR462"/>
  <c r="AS462"/>
  <c r="AY462" s="1"/>
  <c r="AZ462"/>
  <c r="AL636"/>
  <c r="AK635"/>
  <c r="AQ636"/>
  <c r="AV636"/>
  <c r="AW636" s="1"/>
  <c r="BA552"/>
  <c r="AY552"/>
  <c r="AZ542"/>
  <c r="AR542"/>
  <c r="AS542"/>
  <c r="AY542" s="1"/>
  <c r="AQ457"/>
  <c r="AV457"/>
  <c r="AW457" s="1"/>
  <c r="AL457"/>
  <c r="AZ429"/>
  <c r="AR429"/>
  <c r="AS429"/>
  <c r="AY429" s="1"/>
  <c r="AV444"/>
  <c r="AW444" s="1"/>
  <c r="AQ444"/>
  <c r="AK443"/>
  <c r="AZ407"/>
  <c r="AR407"/>
  <c r="AS407"/>
  <c r="AY407" s="1"/>
  <c r="AZ386"/>
  <c r="AR386"/>
  <c r="AS386"/>
  <c r="AY386" s="1"/>
  <c r="AZ380"/>
  <c r="AR380"/>
  <c r="AS380"/>
  <c r="AY380" s="1"/>
  <c r="AR434"/>
  <c r="AZ434"/>
  <c r="AS434"/>
  <c r="AY434" s="1"/>
  <c r="AS408"/>
  <c r="AY408" s="1"/>
  <c r="AZ408"/>
  <c r="AR408"/>
  <c r="AS402"/>
  <c r="AY402" s="1"/>
  <c r="AZ402"/>
  <c r="AR402"/>
  <c r="AS394"/>
  <c r="AY394" s="1"/>
  <c r="AZ394"/>
  <c r="AR394"/>
  <c r="AS366"/>
  <c r="AY366" s="1"/>
  <c r="AZ366"/>
  <c r="AR366"/>
  <c r="AL487"/>
  <c r="AQ487"/>
  <c r="AV487"/>
  <c r="R548"/>
  <c r="S548"/>
  <c r="V548" s="1"/>
  <c r="AL395"/>
  <c r="AQ395"/>
  <c r="AV395"/>
  <c r="AW395" s="1"/>
  <c r="AS388"/>
  <c r="AY388" s="1"/>
  <c r="AZ388"/>
  <c r="AS350"/>
  <c r="AY350" s="1"/>
  <c r="AZ350"/>
  <c r="AR350"/>
  <c r="AZ481"/>
  <c r="AR481"/>
  <c r="AS481"/>
  <c r="AY481" s="1"/>
  <c r="AZ321"/>
  <c r="AR321"/>
  <c r="AS321"/>
  <c r="AY321" s="1"/>
  <c r="AZ299"/>
  <c r="AR299"/>
  <c r="AS299"/>
  <c r="AY299" s="1"/>
  <c r="AZ262"/>
  <c r="AR262"/>
  <c r="AS262"/>
  <c r="AY262" s="1"/>
  <c r="AZ237"/>
  <c r="AR237"/>
  <c r="AS237"/>
  <c r="AY237" s="1"/>
  <c r="AL221"/>
  <c r="AQ221"/>
  <c r="AV221"/>
  <c r="AZ213"/>
  <c r="AR213"/>
  <c r="AS213"/>
  <c r="AY213" s="1"/>
  <c r="AV225"/>
  <c r="AW225" s="1"/>
  <c r="AL225"/>
  <c r="AQ225"/>
  <c r="AZ203"/>
  <c r="AR203"/>
  <c r="AS203"/>
  <c r="AY203" s="1"/>
  <c r="AZ186"/>
  <c r="AS186"/>
  <c r="AY186" s="1"/>
  <c r="AR186"/>
  <c r="AZ162"/>
  <c r="AS162"/>
  <c r="AY162" s="1"/>
  <c r="AR162"/>
  <c r="AS271"/>
  <c r="AZ271"/>
  <c r="AR271"/>
  <c r="AR325"/>
  <c r="AS325"/>
  <c r="AY325" s="1"/>
  <c r="AZ325"/>
  <c r="AR317"/>
  <c r="AS317"/>
  <c r="AY317" s="1"/>
  <c r="AZ317"/>
  <c r="AQ248"/>
  <c r="AV248"/>
  <c r="AW248" s="1"/>
  <c r="AL248"/>
  <c r="AR191"/>
  <c r="AS191"/>
  <c r="AY191" s="1"/>
  <c r="AZ191"/>
  <c r="AC154"/>
  <c r="AR184"/>
  <c r="AZ184"/>
  <c r="AS184"/>
  <c r="AY184" s="1"/>
  <c r="AW179"/>
  <c r="AX179"/>
  <c r="AZ135"/>
  <c r="AR135"/>
  <c r="AS135"/>
  <c r="AY135" s="1"/>
  <c r="Q123"/>
  <c r="N122"/>
  <c r="Q122" s="1"/>
  <c r="R122" s="1"/>
  <c r="AZ190"/>
  <c r="AS190"/>
  <c r="AY190" s="1"/>
  <c r="AR190"/>
  <c r="AS137"/>
  <c r="AY137" s="1"/>
  <c r="AZ137"/>
  <c r="AR137"/>
  <c r="AS76"/>
  <c r="AZ76"/>
  <c r="AR76"/>
  <c r="AS74"/>
  <c r="AY74" s="1"/>
  <c r="AZ74"/>
  <c r="AR74"/>
  <c r="AW184"/>
  <c r="AX184"/>
  <c r="AL77"/>
  <c r="AQ77"/>
  <c r="AV77"/>
  <c r="AW77" s="1"/>
  <c r="T677"/>
  <c r="AD34"/>
  <c r="U34"/>
  <c r="AU34" s="1"/>
  <c r="V34"/>
  <c r="T33"/>
  <c r="AS105"/>
  <c r="AY105" s="1"/>
  <c r="AZ105"/>
  <c r="AR105"/>
  <c r="AR101"/>
  <c r="AS101"/>
  <c r="AY101" s="1"/>
  <c r="AZ101"/>
  <c r="AR97"/>
  <c r="AS97"/>
  <c r="AY97" s="1"/>
  <c r="AZ97"/>
  <c r="AQ35"/>
  <c r="AV35"/>
  <c r="AL35"/>
  <c r="AK34"/>
  <c r="AZ133"/>
  <c r="AR133"/>
  <c r="AS133"/>
  <c r="AY133" s="1"/>
  <c r="AS126"/>
  <c r="AY126" s="1"/>
  <c r="AZ126"/>
  <c r="AR126"/>
  <c r="AX652"/>
  <c r="AX667"/>
  <c r="AX670"/>
  <c r="AX553"/>
  <c r="AX591"/>
  <c r="AX575"/>
  <c r="AX444"/>
  <c r="AX481"/>
  <c r="AX544"/>
  <c r="M290"/>
  <c r="U290" s="1"/>
  <c r="AU290" s="1"/>
  <c r="AX405"/>
  <c r="AX519"/>
  <c r="AD416"/>
  <c r="R351"/>
  <c r="AX155"/>
  <c r="AX190"/>
  <c r="AX332"/>
  <c r="AX147"/>
  <c r="S35"/>
  <c r="V35" s="1"/>
  <c r="AX126"/>
  <c r="AX107"/>
  <c r="AX50"/>
  <c r="AS672"/>
  <c r="AZ672"/>
  <c r="AR672"/>
  <c r="AS645"/>
  <c r="AY645" s="1"/>
  <c r="AZ645"/>
  <c r="AR645"/>
  <c r="AS638"/>
  <c r="AY638" s="1"/>
  <c r="AZ638"/>
  <c r="AR638"/>
  <c r="BB632"/>
  <c r="AY632"/>
  <c r="AS623"/>
  <c r="AY623" s="1"/>
  <c r="AZ623"/>
  <c r="AR623"/>
  <c r="AS593"/>
  <c r="AY593" s="1"/>
  <c r="AZ593"/>
  <c r="AR593"/>
  <c r="AR652"/>
  <c r="AS652"/>
  <c r="AY652" s="1"/>
  <c r="AZ652"/>
  <c r="AY625"/>
  <c r="BA625"/>
  <c r="AY617"/>
  <c r="BA617"/>
  <c r="AZ561"/>
  <c r="AR561"/>
  <c r="AS561"/>
  <c r="AY561" s="1"/>
  <c r="AR522"/>
  <c r="AS522"/>
  <c r="AY522" s="1"/>
  <c r="AZ522"/>
  <c r="AR486"/>
  <c r="AS486"/>
  <c r="AY486" s="1"/>
  <c r="AZ486"/>
  <c r="AR467"/>
  <c r="AS467"/>
  <c r="AY467" s="1"/>
  <c r="AZ467"/>
  <c r="AZ564"/>
  <c r="AR564"/>
  <c r="AS564"/>
  <c r="AY564" s="1"/>
  <c r="AW535"/>
  <c r="AX535"/>
  <c r="AW460"/>
  <c r="AX460"/>
  <c r="AZ410"/>
  <c r="AR410"/>
  <c r="AS410"/>
  <c r="AY560"/>
  <c r="BB559"/>
  <c r="AS363"/>
  <c r="AY363" s="1"/>
  <c r="AZ363"/>
  <c r="AR363"/>
  <c r="AW495"/>
  <c r="AX495"/>
  <c r="AW490"/>
  <c r="AX490"/>
  <c r="AZ476"/>
  <c r="AR476"/>
  <c r="AS476"/>
  <c r="AY476" s="1"/>
  <c r="AZ473"/>
  <c r="AR473"/>
  <c r="AS473"/>
  <c r="U443"/>
  <c r="AU443" s="1"/>
  <c r="AZ326"/>
  <c r="AR326"/>
  <c r="AS326"/>
  <c r="AY326" s="1"/>
  <c r="AZ305"/>
  <c r="AR305"/>
  <c r="AS305"/>
  <c r="AY305" s="1"/>
  <c r="AZ270"/>
  <c r="AR270"/>
  <c r="AS270"/>
  <c r="AY270" s="1"/>
  <c r="AZ240"/>
  <c r="AR240"/>
  <c r="AS240"/>
  <c r="AY240" s="1"/>
  <c r="AZ224"/>
  <c r="AR224"/>
  <c r="AS224"/>
  <c r="AZ216"/>
  <c r="AR216"/>
  <c r="AS216"/>
  <c r="AY216" s="1"/>
  <c r="AZ255"/>
  <c r="AR255"/>
  <c r="AS255"/>
  <c r="AY255" s="1"/>
  <c r="AZ211"/>
  <c r="AR211"/>
  <c r="AS211"/>
  <c r="AY211" s="1"/>
  <c r="AD192"/>
  <c r="AA33"/>
  <c r="AZ177"/>
  <c r="AS177"/>
  <c r="AY177" s="1"/>
  <c r="AR177"/>
  <c r="AZ358"/>
  <c r="AR358"/>
  <c r="AS358"/>
  <c r="AY358" s="1"/>
  <c r="AS329"/>
  <c r="AZ329"/>
  <c r="AR329"/>
  <c r="AS200"/>
  <c r="AZ200"/>
  <c r="AR200"/>
  <c r="AL309"/>
  <c r="AQ309"/>
  <c r="AV309"/>
  <c r="AR297"/>
  <c r="AS297"/>
  <c r="AY297" s="1"/>
  <c r="AZ297"/>
  <c r="AR286"/>
  <c r="AS286"/>
  <c r="AY286" s="1"/>
  <c r="AZ286"/>
  <c r="AR267"/>
  <c r="AS267"/>
  <c r="AY267" s="1"/>
  <c r="AZ267"/>
  <c r="AR242"/>
  <c r="AS242"/>
  <c r="AY242" s="1"/>
  <c r="AZ242"/>
  <c r="AR236"/>
  <c r="AS236"/>
  <c r="AY236" s="1"/>
  <c r="AZ236"/>
  <c r="AR228"/>
  <c r="AS228"/>
  <c r="AY228" s="1"/>
  <c r="AZ228"/>
  <c r="AR207"/>
  <c r="AS207"/>
  <c r="AY207" s="1"/>
  <c r="AZ207"/>
  <c r="AZ58"/>
  <c r="AR58"/>
  <c r="AS58"/>
  <c r="AY58" s="1"/>
  <c r="AV166"/>
  <c r="AQ166"/>
  <c r="AL166"/>
  <c r="AZ152"/>
  <c r="AR152"/>
  <c r="AS152"/>
  <c r="AY152" s="1"/>
  <c r="AW171"/>
  <c r="AX171"/>
  <c r="R126"/>
  <c r="S126"/>
  <c r="V126" s="1"/>
  <c r="AV110"/>
  <c r="AL110"/>
  <c r="AQ110"/>
  <c r="AZ91"/>
  <c r="AR91"/>
  <c r="AS91"/>
  <c r="AY91" s="1"/>
  <c r="AS147"/>
  <c r="AY147" s="1"/>
  <c r="AZ147"/>
  <c r="AR147"/>
  <c r="AS99"/>
  <c r="AY99" s="1"/>
  <c r="AZ99"/>
  <c r="AR99"/>
  <c r="AS82"/>
  <c r="AY82" s="1"/>
  <c r="AZ82"/>
  <c r="AR82"/>
  <c r="AQ291"/>
  <c r="AV291"/>
  <c r="AW291" s="1"/>
  <c r="AL291"/>
  <c r="AQ168"/>
  <c r="AV168"/>
  <c r="AW168" s="1"/>
  <c r="AL168"/>
  <c r="U154"/>
  <c r="AU154" s="1"/>
  <c r="V154"/>
  <c r="AC122"/>
  <c r="AB33"/>
  <c r="AU114"/>
  <c r="AT110"/>
  <c r="AR44"/>
  <c r="AS44"/>
  <c r="AY44" s="1"/>
  <c r="AZ44"/>
  <c r="AS84"/>
  <c r="AY84" s="1"/>
  <c r="AZ84"/>
  <c r="AR84"/>
  <c r="AR56"/>
  <c r="AS56"/>
  <c r="AY56" s="1"/>
  <c r="AZ56"/>
  <c r="AQ114"/>
  <c r="AV114"/>
  <c r="AW114" s="1"/>
  <c r="AL114"/>
  <c r="AS94"/>
  <c r="AY94" s="1"/>
  <c r="AZ94"/>
  <c r="AR94"/>
  <c r="AR48"/>
  <c r="AS48"/>
  <c r="AY48" s="1"/>
  <c r="AZ48"/>
  <c r="AL123"/>
  <c r="AK122"/>
  <c r="AQ123"/>
  <c r="AV123"/>
  <c r="AW123" s="1"/>
  <c r="AR109"/>
  <c r="AS109"/>
  <c r="AY109" s="1"/>
  <c r="AZ109"/>
  <c r="AW653"/>
  <c r="AX658"/>
  <c r="AX621"/>
  <c r="U635"/>
  <c r="AU635" s="1"/>
  <c r="AX649"/>
  <c r="AX559"/>
  <c r="AX561"/>
  <c r="AX556"/>
  <c r="AX504"/>
  <c r="AX523"/>
  <c r="AX366"/>
  <c r="AX429"/>
  <c r="AX363"/>
  <c r="AX408"/>
  <c r="AX540"/>
  <c r="AW371"/>
  <c r="U351"/>
  <c r="AU351" s="1"/>
  <c r="AW370"/>
  <c r="AX257"/>
  <c r="O33"/>
  <c r="AX360"/>
  <c r="AW270"/>
  <c r="AX191"/>
  <c r="AZ15"/>
  <c r="AX150"/>
  <c r="AX121"/>
  <c r="AX99"/>
  <c r="AX82"/>
  <c r="AX72"/>
  <c r="AX113"/>
  <c r="AX413" l="1"/>
  <c r="AW413"/>
  <c r="AV374"/>
  <c r="AQ374"/>
  <c r="AL374"/>
  <c r="AZ413"/>
  <c r="AS413"/>
  <c r="AY413" s="1"/>
  <c r="AR413"/>
  <c r="AY393"/>
  <c r="BB393"/>
  <c r="AZ377"/>
  <c r="AS377"/>
  <c r="AY377" s="1"/>
  <c r="AR377"/>
  <c r="AW417"/>
  <c r="AX417"/>
  <c r="R443"/>
  <c r="S443"/>
  <c r="V443" s="1"/>
  <c r="AK290"/>
  <c r="AW377"/>
  <c r="AX377"/>
  <c r="AL416"/>
  <c r="AQ416"/>
  <c r="AV416"/>
  <c r="AW416" s="1"/>
  <c r="AX636"/>
  <c r="AW672"/>
  <c r="AX672"/>
  <c r="AX416"/>
  <c r="AX168"/>
  <c r="AX77"/>
  <c r="BB224"/>
  <c r="AY224"/>
  <c r="AR457"/>
  <c r="AZ457"/>
  <c r="AS457"/>
  <c r="AL635"/>
  <c r="AV635"/>
  <c r="AW635" s="1"/>
  <c r="AQ635"/>
  <c r="AR578"/>
  <c r="AZ578"/>
  <c r="AS578"/>
  <c r="AY578" s="1"/>
  <c r="AL87"/>
  <c r="AV87"/>
  <c r="AQ87"/>
  <c r="AL154"/>
  <c r="AV154"/>
  <c r="AW154" s="1"/>
  <c r="AQ154"/>
  <c r="AW166"/>
  <c r="AX166"/>
  <c r="AZ225"/>
  <c r="AR225"/>
  <c r="AS225"/>
  <c r="AS636"/>
  <c r="AZ636"/>
  <c r="AR636"/>
  <c r="BB591"/>
  <c r="AY591"/>
  <c r="AY504"/>
  <c r="BA504"/>
  <c r="AL548"/>
  <c r="AV548"/>
  <c r="AW548" s="1"/>
  <c r="AQ548"/>
  <c r="AW607"/>
  <c r="AX607"/>
  <c r="AZ155"/>
  <c r="AR155"/>
  <c r="AS155"/>
  <c r="AY155" s="1"/>
  <c r="AX351"/>
  <c r="AW351"/>
  <c r="AZ168"/>
  <c r="AR168"/>
  <c r="AS168"/>
  <c r="AY168" s="1"/>
  <c r="AZ291"/>
  <c r="AR291"/>
  <c r="AS291"/>
  <c r="AY291" s="1"/>
  <c r="AZ166"/>
  <c r="AS166"/>
  <c r="AY166" s="1"/>
  <c r="AR166"/>
  <c r="AW309"/>
  <c r="AX309"/>
  <c r="BA329"/>
  <c r="AY329"/>
  <c r="AW35"/>
  <c r="AX35"/>
  <c r="AS221"/>
  <c r="AY221" s="1"/>
  <c r="AZ221"/>
  <c r="AR221"/>
  <c r="AZ487"/>
  <c r="AR487"/>
  <c r="AS487"/>
  <c r="AW88"/>
  <c r="AX88"/>
  <c r="AW118"/>
  <c r="AX118"/>
  <c r="AL192"/>
  <c r="AV192"/>
  <c r="AW192" s="1"/>
  <c r="AQ192"/>
  <c r="AW529"/>
  <c r="AX529"/>
  <c r="AR549"/>
  <c r="AZ549"/>
  <c r="AS549"/>
  <c r="AY549" s="1"/>
  <c r="W677"/>
  <c r="W33"/>
  <c r="AS102"/>
  <c r="AY102" s="1"/>
  <c r="AZ102"/>
  <c r="AR102"/>
  <c r="AZ69"/>
  <c r="AR69"/>
  <c r="AS69"/>
  <c r="AY69" s="1"/>
  <c r="BB218"/>
  <c r="AY218"/>
  <c r="AZ607"/>
  <c r="AR607"/>
  <c r="AS607"/>
  <c r="AY607" s="1"/>
  <c r="N677"/>
  <c r="AX34"/>
  <c r="AX114"/>
  <c r="N33"/>
  <c r="Q33" s="1"/>
  <c r="AX225"/>
  <c r="AX53"/>
  <c r="AX45"/>
  <c r="AZ123"/>
  <c r="AR123"/>
  <c r="AS123"/>
  <c r="AY410"/>
  <c r="BB410"/>
  <c r="AK677"/>
  <c r="AL34"/>
  <c r="AV34"/>
  <c r="AW34" s="1"/>
  <c r="AQ34"/>
  <c r="AK33"/>
  <c r="AY76"/>
  <c r="BB76"/>
  <c r="R123"/>
  <c r="S123"/>
  <c r="V123" s="1"/>
  <c r="AZ248"/>
  <c r="AR248"/>
  <c r="AS248"/>
  <c r="AV443"/>
  <c r="AW443" s="1"/>
  <c r="AQ443"/>
  <c r="AL443"/>
  <c r="BB86"/>
  <c r="AY86"/>
  <c r="BA351"/>
  <c r="AY351"/>
  <c r="AR136"/>
  <c r="AZ136"/>
  <c r="AS136"/>
  <c r="AY136" s="1"/>
  <c r="AZ114"/>
  <c r="AR114"/>
  <c r="AS114"/>
  <c r="AY114" s="1"/>
  <c r="AZ110"/>
  <c r="AR110"/>
  <c r="AS110"/>
  <c r="AY110" s="1"/>
  <c r="AZ309"/>
  <c r="AR309"/>
  <c r="AS309"/>
  <c r="AY309" s="1"/>
  <c r="BA200"/>
  <c r="AY200"/>
  <c r="S290"/>
  <c r="V290" s="1"/>
  <c r="M677"/>
  <c r="U677" s="1"/>
  <c r="AU677" s="1"/>
  <c r="AQ36"/>
  <c r="AZ36" s="1"/>
  <c r="AZ35"/>
  <c r="AR35"/>
  <c r="AS35"/>
  <c r="AZ77"/>
  <c r="AR77"/>
  <c r="AS77"/>
  <c r="AY77" s="1"/>
  <c r="AS88"/>
  <c r="AY88" s="1"/>
  <c r="AZ88"/>
  <c r="AR88"/>
  <c r="AZ118"/>
  <c r="AR118"/>
  <c r="AS118"/>
  <c r="AZ193"/>
  <c r="AR193"/>
  <c r="AS193"/>
  <c r="BA566"/>
  <c r="AY566"/>
  <c r="AZ45"/>
  <c r="AR45"/>
  <c r="AS45"/>
  <c r="AY45" s="1"/>
  <c r="AZ53"/>
  <c r="AR53"/>
  <c r="AS53"/>
  <c r="AY53" s="1"/>
  <c r="AL122"/>
  <c r="AV122"/>
  <c r="AW122" s="1"/>
  <c r="AQ122"/>
  <c r="AT102"/>
  <c r="AU102" s="1"/>
  <c r="AX102" s="1"/>
  <c r="AU110"/>
  <c r="AX110" s="1"/>
  <c r="AL290"/>
  <c r="AV290"/>
  <c r="AW290" s="1"/>
  <c r="AQ290"/>
  <c r="AY473"/>
  <c r="BA473"/>
  <c r="AY672"/>
  <c r="BB672"/>
  <c r="BA271"/>
  <c r="AY271"/>
  <c r="AW221"/>
  <c r="AX221"/>
  <c r="AZ395"/>
  <c r="AR395"/>
  <c r="AS395"/>
  <c r="AW487"/>
  <c r="AX487"/>
  <c r="AS444"/>
  <c r="AZ444"/>
  <c r="AW578"/>
  <c r="AX578"/>
  <c r="R636"/>
  <c r="S636"/>
  <c r="V636" s="1"/>
  <c r="AZ33"/>
  <c r="AC33"/>
  <c r="AW193"/>
  <c r="AX193"/>
  <c r="AS529"/>
  <c r="AZ529"/>
  <c r="AR529"/>
  <c r="BA602"/>
  <c r="AY602"/>
  <c r="AX154"/>
  <c r="S635"/>
  <c r="V635" s="1"/>
  <c r="S122"/>
  <c r="AX69"/>
  <c r="AX248"/>
  <c r="AX549"/>
  <c r="AW110"/>
  <c r="AX291"/>
  <c r="Q677"/>
  <c r="M33"/>
  <c r="AX457"/>
  <c r="AW102"/>
  <c r="AW136"/>
  <c r="AX395"/>
  <c r="AD290"/>
  <c r="AZ416" l="1"/>
  <c r="AS416"/>
  <c r="AY416" s="1"/>
  <c r="AR416"/>
  <c r="AX192"/>
  <c r="R677"/>
  <c r="AD677"/>
  <c r="AW374"/>
  <c r="AX374"/>
  <c r="AX122"/>
  <c r="AS374"/>
  <c r="AR374"/>
  <c r="AZ374"/>
  <c r="AX443"/>
  <c r="AX677"/>
  <c r="AD33"/>
  <c r="S33"/>
  <c r="V33" s="1"/>
  <c r="V122"/>
  <c r="S677"/>
  <c r="V677" s="1"/>
  <c r="AY395"/>
  <c r="BA395"/>
  <c r="AY118"/>
  <c r="BA118"/>
  <c r="AY248"/>
  <c r="BA248"/>
  <c r="AR34"/>
  <c r="AS34"/>
  <c r="AY34" s="1"/>
  <c r="AZ192"/>
  <c r="AR192"/>
  <c r="AS192"/>
  <c r="AY192" s="1"/>
  <c r="BA636"/>
  <c r="AY636"/>
  <c r="BA529"/>
  <c r="AY529"/>
  <c r="AL33"/>
  <c r="AQ33"/>
  <c r="AV33"/>
  <c r="AL677"/>
  <c r="AQ677"/>
  <c r="AV677"/>
  <c r="AW677" s="1"/>
  <c r="AY487"/>
  <c r="BA487"/>
  <c r="AZ548"/>
  <c r="AR548"/>
  <c r="AS548"/>
  <c r="AY548" s="1"/>
  <c r="AR635"/>
  <c r="AS635"/>
  <c r="AY635" s="1"/>
  <c r="AZ635"/>
  <c r="U33"/>
  <c r="AU33" s="1"/>
  <c r="AX33" s="1"/>
  <c r="AX548"/>
  <c r="AX290"/>
  <c r="AZ122"/>
  <c r="AR122"/>
  <c r="AS122"/>
  <c r="AY122" s="1"/>
  <c r="AR443"/>
  <c r="AZ443"/>
  <c r="AS443"/>
  <c r="AY443" s="1"/>
  <c r="AY123"/>
  <c r="BA123"/>
  <c r="AR154"/>
  <c r="AZ154"/>
  <c r="AS154"/>
  <c r="AY154" s="1"/>
  <c r="AW87"/>
  <c r="AX87"/>
  <c r="AY457"/>
  <c r="BA457"/>
  <c r="AZ290"/>
  <c r="AR290"/>
  <c r="AS290"/>
  <c r="AY290" s="1"/>
  <c r="BA193"/>
  <c r="AY193"/>
  <c r="AY35"/>
  <c r="BA35"/>
  <c r="BA225"/>
  <c r="AY225"/>
  <c r="AR87"/>
  <c r="AZ87"/>
  <c r="AS87"/>
  <c r="AY87" s="1"/>
  <c r="R33"/>
  <c r="BB677"/>
  <c r="AX635"/>
  <c r="BA374" l="1"/>
  <c r="AY374"/>
  <c r="AZ677"/>
  <c r="AR677"/>
  <c r="AS677"/>
  <c r="AY677" s="1"/>
  <c r="AR33"/>
  <c r="AS33"/>
  <c r="AY33" s="1"/>
  <c r="BA677"/>
  <c r="AW33"/>
  <c r="J344" i="84"/>
  <c r="H379" i="86"/>
  <c r="G379"/>
  <c r="G379" i="84"/>
  <c r="H379"/>
</calcChain>
</file>

<file path=xl/sharedStrings.xml><?xml version="1.0" encoding="utf-8"?>
<sst xmlns="http://schemas.openxmlformats.org/spreadsheetml/2006/main" count="6816" uniqueCount="1581">
  <si>
    <t>Penyediaan jasa surat menyurat</t>
  </si>
  <si>
    <t>Penyediaan jasa komunikasi, sumber daya air dan listrik</t>
  </si>
  <si>
    <t>Penyediaan jasa administrasi keuangan</t>
  </si>
  <si>
    <t>Pemeliharaan rutin/berkala gedung kantor</t>
  </si>
  <si>
    <t>Pemeliharaan rutin/berkala kendaraan dinas/operasional</t>
  </si>
  <si>
    <t>Pemeliharaan rutin/berkala peralatan gedung kantor</t>
  </si>
  <si>
    <t>Program Peningkatan Kesempatan Kerja</t>
  </si>
  <si>
    <t>Program Perencanaan Pembangunan Daerah</t>
  </si>
  <si>
    <t>Program Pengembangan Wilayah Transmigrasi</t>
  </si>
  <si>
    <t>BELANJA TIDAK LANGSUNG</t>
  </si>
  <si>
    <t>BELANJA PEGAWAI</t>
  </si>
  <si>
    <t>Tunjangan Fungsional Umum</t>
  </si>
  <si>
    <t>Insentif Pemungutan Retribusi Daerah</t>
  </si>
  <si>
    <t>Jumlah Pegawai</t>
  </si>
  <si>
    <t>Pegawai</t>
  </si>
  <si>
    <t>Jumlah Isteri/suami</t>
  </si>
  <si>
    <t>Jiwa</t>
  </si>
  <si>
    <t>Jumlah anak</t>
  </si>
  <si>
    <t>Pagu Belanja Tidak langsung</t>
  </si>
  <si>
    <t>Pemeliharaan rutin/berkala perlengkapan gedung kantor</t>
  </si>
  <si>
    <t>Pembinaan dan Monitoring Lembaga Pelatihan Kerja Swasta ( LPKS )</t>
  </si>
  <si>
    <t>NO</t>
  </si>
  <si>
    <t>URAIAN</t>
  </si>
  <si>
    <t>Uraian</t>
  </si>
  <si>
    <t>REKENING</t>
  </si>
  <si>
    <t>Gaji dan Tunjangan</t>
  </si>
  <si>
    <t>%</t>
  </si>
  <si>
    <t>Gaji Pokok PNS/Uang Representasi</t>
  </si>
  <si>
    <t>Tunjangan BPJS Kesehatan</t>
  </si>
  <si>
    <t xml:space="preserve">(Gaji PNS &amp; Tunjangan) </t>
  </si>
  <si>
    <t>6 = 4 - 5</t>
  </si>
  <si>
    <t>Jumlah keseluruhan</t>
  </si>
  <si>
    <t>Peningkatan Kapasitas Manajemen Ketenagakerjaan</t>
  </si>
  <si>
    <t>Program Pengembangan Sistem Pendukung Usaha Bagi Usaha Mikro Kecil Menengah</t>
  </si>
  <si>
    <t>DEKRANASDA</t>
  </si>
  <si>
    <t>Pengembangan Sentra Industri Kecil</t>
  </si>
  <si>
    <t>Pendampingan / Pengembangan Produk Ovop</t>
  </si>
  <si>
    <t>Adapun untuk belanja tidak langsung  atau Gaji PNS berdasarkan Gaji  bulan Nopember</t>
  </si>
  <si>
    <t>Iuran Jaminan Kecelakaan Kerja dan Jaminan Kematian ( JKK JK)</t>
  </si>
  <si>
    <t>REALISASI S/D OKTOBER</t>
  </si>
  <si>
    <t>PERHITUNGAN  APBD PENETAPAN  2019</t>
  </si>
  <si>
    <t>Pendapatan Asli Daerah  ( PAD ) Tahun Anggaran 2019</t>
  </si>
  <si>
    <t>pagu Tahun 2018</t>
  </si>
  <si>
    <t>Rencana Tahun 2019</t>
  </si>
  <si>
    <t>pegawai</t>
  </si>
  <si>
    <t>2018 Terdiri dari  176 Jiwa Dengan rincian :</t>
  </si>
  <si>
    <t>12 Program</t>
  </si>
  <si>
    <t>37 Kegiatan</t>
  </si>
  <si>
    <t xml:space="preserve"> </t>
  </si>
  <si>
    <t>PEMERINTAH KABUPATEN MAGELANG</t>
  </si>
  <si>
    <t>PERHITUNGAN SERAPAN TAHUN 2018 PERUBAHAN</t>
  </si>
  <si>
    <t>S/D TRI WULAN IV</t>
  </si>
  <si>
    <t>KD. REKENING</t>
  </si>
  <si>
    <t>ANGGARAN
TAHUN INI</t>
  </si>
  <si>
    <t>TRIWULAN I</t>
  </si>
  <si>
    <t>YANG LALU</t>
  </si>
  <si>
    <t>BULAN INI</t>
  </si>
  <si>
    <t>JUMLAH REALISASI</t>
  </si>
  <si>
    <t>SISA</t>
  </si>
  <si>
    <t>TRIWULAN II</t>
  </si>
  <si>
    <t>TRIWULAN III</t>
  </si>
  <si>
    <t>ANGGARAN
PERUBAHAN</t>
  </si>
  <si>
    <t>SELISIH</t>
  </si>
  <si>
    <t>TRIWULAN IV</t>
  </si>
  <si>
    <t>JUMLAH</t>
  </si>
  <si>
    <t>REALISASI</t>
  </si>
  <si>
    <t>SISA OKTOBER</t>
  </si>
  <si>
    <t>NOPEMBER</t>
  </si>
  <si>
    <t>DESEMBER</t>
  </si>
  <si>
    <t>% SILPA</t>
  </si>
  <si>
    <t xml:space="preserve">RENC RAELISASI 1 TAHUN </t>
  </si>
  <si>
    <t>%REALISSI</t>
  </si>
  <si>
    <t>4.1</t>
  </si>
  <si>
    <t>4.1.00.00.2</t>
  </si>
  <si>
    <t>Hasil Retribusi Daerah</t>
  </si>
  <si>
    <t>4.1.00.00.2.02.01</t>
  </si>
  <si>
    <t>Retribusi Pemakaian Kekayaan Daerah</t>
  </si>
  <si>
    <t>4.1.00.00.2.03.12</t>
  </si>
  <si>
    <t>Pemberian Perpanjangan IMTA kepada Pemberi Kerja Tenaga Kerja Asing - LRA</t>
  </si>
  <si>
    <t>A</t>
  </si>
  <si>
    <t>5.1.00.00.1</t>
  </si>
  <si>
    <t>5.1.00.00.1.01</t>
  </si>
  <si>
    <t>5.1.00.00.1.01.01</t>
  </si>
  <si>
    <t>5.1.00.00.1.01.02</t>
  </si>
  <si>
    <t>Tunjangan Keluarga</t>
  </si>
  <si>
    <t>5.1.00.00.1.01.03</t>
  </si>
  <si>
    <t>Tunjangan Jabatan 1)</t>
  </si>
  <si>
    <t>5.1.00.00.1.01.04</t>
  </si>
  <si>
    <t>Tunjangan Fungsional</t>
  </si>
  <si>
    <t>5.1.00.00.1.01.05</t>
  </si>
  <si>
    <t>5.1.00.00.1.01.06</t>
  </si>
  <si>
    <t>Tunjangan Beras 2)</t>
  </si>
  <si>
    <t>5.1.00.00.1.01.07</t>
  </si>
  <si>
    <t>Tunjangan PPh/Tunjangan Khusus</t>
  </si>
  <si>
    <t>5.1.00.00.1.01.08</t>
  </si>
  <si>
    <t>Pembulatan Gaji</t>
  </si>
  <si>
    <t>5.1.00.00.1.01.21</t>
  </si>
  <si>
    <t>5.1.00.00.1.01.22</t>
  </si>
  <si>
    <t>5.1.00.00.1.02</t>
  </si>
  <si>
    <t>Tambahan Penghasilan PNS</t>
  </si>
  <si>
    <t>5.1.00.00.1.02.01</t>
  </si>
  <si>
    <t>Tambahan Penghasilan berdasarkan beban kerja</t>
  </si>
  <si>
    <t>5.1.00.00.1.06</t>
  </si>
  <si>
    <t>5.1.00.00.1.06.01</t>
  </si>
  <si>
    <t>Insentif Pemungutan Retribusi Daerah.</t>
  </si>
  <si>
    <t>NOMOR</t>
  </si>
  <si>
    <t>PAGU ANGGARAN</t>
  </si>
  <si>
    <t>GU I</t>
  </si>
  <si>
    <t>RENC II</t>
  </si>
  <si>
    <t>TU</t>
  </si>
  <si>
    <t>Serapan %</t>
  </si>
  <si>
    <t>SISA TRI I</t>
  </si>
  <si>
    <t>ANNGARAN TRI II</t>
  </si>
  <si>
    <t>JUMLAH ANGGRN SEMUA S/D TRI II</t>
  </si>
  <si>
    <t>JUMLAH ANGGARAN SISA S/D TRI II</t>
  </si>
  <si>
    <t>GU II</t>
  </si>
  <si>
    <t>LS</t>
  </si>
  <si>
    <t>TU I spj</t>
  </si>
  <si>
    <t>TU II</t>
  </si>
  <si>
    <t>PAGU ANGGARAN PERUBAHAN</t>
  </si>
  <si>
    <t>Tambah / ( kurang)</t>
  </si>
  <si>
    <t>JUMLAH ANGGARAN S/D TRI III</t>
  </si>
  <si>
    <t>LS  TRI II</t>
  </si>
  <si>
    <t>LS  TRI III</t>
  </si>
  <si>
    <t xml:space="preserve"> GU III AGUSTUS</t>
  </si>
  <si>
    <t>TU AGUSTUS</t>
  </si>
  <si>
    <t>TU SEPTEMBER</t>
  </si>
  <si>
    <t xml:space="preserve"> GU IV september</t>
  </si>
  <si>
    <t>JUMLAH REALISASI S/D TRI III</t>
  </si>
  <si>
    <t>LS TRI IV</t>
  </si>
  <si>
    <t>TU OKTOBER</t>
  </si>
  <si>
    <t>GU V</t>
  </si>
  <si>
    <t>JUMLAH ANGGR S/D TRI III</t>
  </si>
  <si>
    <t>JMLH REALISASI</t>
  </si>
  <si>
    <t>% Serapan</t>
  </si>
  <si>
    <t>SISA ANGGARAN</t>
  </si>
  <si>
    <t>B</t>
  </si>
  <si>
    <t>5.2</t>
  </si>
  <si>
    <t>I</t>
  </si>
  <si>
    <t>5.2.01</t>
  </si>
  <si>
    <t>Program Pelayanan Administrasi Perkantoran</t>
  </si>
  <si>
    <t>5.2.01.01</t>
  </si>
  <si>
    <t>5.2.01.01.2</t>
  </si>
  <si>
    <t>BELANJA BARANG DAN JASA</t>
  </si>
  <si>
    <t>5.2.01.01.2.01</t>
  </si>
  <si>
    <t>Belanja Bahan Pakai Habis</t>
  </si>
  <si>
    <t>5.2.01.01.2.01.01</t>
  </si>
  <si>
    <t>Belanja alat tulis kantor</t>
  </si>
  <si>
    <t>5.2.01.01.2.01.04</t>
  </si>
  <si>
    <t>Belanja perangko, materai dan benda pos lainnya</t>
  </si>
  <si>
    <t>5.2.01.01.2.06</t>
  </si>
  <si>
    <t>Belanja Cetak dan Penggandaan</t>
  </si>
  <si>
    <t>5.2.01.01.2.06.01</t>
  </si>
  <si>
    <t>Belanja Cetak</t>
  </si>
  <si>
    <t>5.2.01.01.2.06.02</t>
  </si>
  <si>
    <t>Belanja Penggandaan</t>
  </si>
  <si>
    <t>5.2.01.01.2.15</t>
  </si>
  <si>
    <t>Belanja Perjalanan Dinas</t>
  </si>
  <si>
    <t>5.2.01.01.2.15.01</t>
  </si>
  <si>
    <t>Belanja perjalanan dinas dalam daerah</t>
  </si>
  <si>
    <t>5.2.01.02</t>
  </si>
  <si>
    <t>5.2.01.02.2</t>
  </si>
  <si>
    <t>5.2.01.02.2.03</t>
  </si>
  <si>
    <t>Belanja Jasa Kantor</t>
  </si>
  <si>
    <t>5.2.01.02.2.03.01</t>
  </si>
  <si>
    <t>Belanja telepon</t>
  </si>
  <si>
    <t>5.2.01.02.2.03.02</t>
  </si>
  <si>
    <t>Belanja air</t>
  </si>
  <si>
    <t>5.2.01.02.2.03.03</t>
  </si>
  <si>
    <t>Belanja listrik</t>
  </si>
  <si>
    <t>5.2.01.02.2.03.05</t>
  </si>
  <si>
    <t>Belanja surat kabar/majalah</t>
  </si>
  <si>
    <t>5.2.01.02.2.03.06</t>
  </si>
  <si>
    <t>Belanja kawat/faksimili/internet/TV Berbayar</t>
  </si>
  <si>
    <t>5.2.01.07</t>
  </si>
  <si>
    <t>5.2.01.07.1</t>
  </si>
  <si>
    <t>5.2.01.07.1.01</t>
  </si>
  <si>
    <t>Honorarium PNS</t>
  </si>
  <si>
    <t>5.2.01.07.1.01.03</t>
  </si>
  <si>
    <t>Honorarium Pengelola Keuangan SKPD</t>
  </si>
  <si>
    <t>5.2.01.07.1.03.</t>
  </si>
  <si>
    <t>Uang Lembur</t>
  </si>
  <si>
    <t>5.2.01.07.1.03.01</t>
  </si>
  <si>
    <t>Uang Lembur PNS</t>
  </si>
  <si>
    <t>5.2.01.07.2</t>
  </si>
  <si>
    <t xml:space="preserve">            </t>
  </si>
  <si>
    <t>5.2.01.07.2.01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</si>
  <si>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</si>
  <si>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5.2.01.07.2.01.01</t>
  </si>
  <si>
    <t>5.2.01.07.2.01.04</t>
  </si>
  <si>
    <t>5.2.01.07.2.06</t>
  </si>
  <si>
    <t>5.2.01.07.2.06.02</t>
  </si>
  <si>
    <t>5.2.01.07.2.11</t>
  </si>
  <si>
    <t>Belanja Makanan dan Minuman</t>
  </si>
  <si>
    <t>5.2.01.07.2.11.02</t>
  </si>
  <si>
    <t>Belanja makanan dan minuman rapat</t>
  </si>
  <si>
    <t>5.2.01.07.2.15</t>
  </si>
  <si>
    <t>5.2.01.07.2.15.01</t>
  </si>
  <si>
    <t>5.2.01.18</t>
  </si>
  <si>
    <t>Rapat-rapat koordinasi dan konsultasi ke luar daerah</t>
  </si>
  <si>
    <t>5.2.01.18.2</t>
  </si>
  <si>
    <t>5.2.01.18.2.01</t>
  </si>
  <si>
    <t>5.2.01.18.2.01.01</t>
  </si>
  <si>
    <t>5.2.01.18.2.06</t>
  </si>
  <si>
    <t>5.2.01.18.2.06.02</t>
  </si>
  <si>
    <t>5.2.01.18.2.15</t>
  </si>
  <si>
    <t>5.2.01.18.2.15.02</t>
  </si>
  <si>
    <t>Belanja perjalanan dinas luar daerah</t>
  </si>
  <si>
    <t>5.2.01.19</t>
  </si>
  <si>
    <t>Rapat-rapat koordinasi dan konsultasi dalam daerah</t>
  </si>
  <si>
    <t>5.2.01.19.2</t>
  </si>
  <si>
    <t>5.2.01.19.2.01</t>
  </si>
  <si>
    <t>5.2.01.19.2.01.01</t>
  </si>
  <si>
    <t>5.2.01.19.2.06</t>
  </si>
  <si>
    <t>5.2.01.19.2.06.02</t>
  </si>
  <si>
    <t>5.2.01.19.2.11</t>
  </si>
  <si>
    <t>5.2.01.19.2.11.02</t>
  </si>
  <si>
    <t>5.2.01.19.2.15</t>
  </si>
  <si>
    <t>5.2.01.19.2.15.01</t>
  </si>
  <si>
    <t>II</t>
  </si>
  <si>
    <t>5.2.02</t>
  </si>
  <si>
    <t>Program Peningkatan Sarana dan Prasarana Aparatur</t>
  </si>
  <si>
    <t>5.2.02.22</t>
  </si>
  <si>
    <t>5.2.02.22.2</t>
  </si>
  <si>
    <t>5.2.02.22.2.01</t>
  </si>
  <si>
    <t>5.2.02.22.2.01.03</t>
  </si>
  <si>
    <t>Belanja alat listrik dan elektronik ( lampu pijar, battery kering)</t>
  </si>
  <si>
    <t>5.2.02.22.2.01.05</t>
  </si>
  <si>
    <t>Belanja peralatan kebersihan dan bahan pembersih</t>
  </si>
  <si>
    <t>5.2.02.22.2.03</t>
  </si>
  <si>
    <t>5.2.02.22.2.03.14</t>
  </si>
  <si>
    <t>Belanja Jasa Tenaga Kerja Non Pegawai</t>
  </si>
  <si>
    <t>5.2.02.22.2.05</t>
  </si>
  <si>
    <t>Belanja Perawatan Kendaraan Bermotor</t>
  </si>
  <si>
    <t>5.2.02.22.2.05.01</t>
  </si>
  <si>
    <t>Belanja Jasa Service dan Pelumas</t>
  </si>
  <si>
    <t>5.2.02.22.2.05.03</t>
  </si>
  <si>
    <t>Belanja Bahan Bakar Minyak/Gas</t>
  </si>
  <si>
    <t>5.2.02.22.2.20</t>
  </si>
  <si>
    <t>Belanja Pemeliharaan</t>
  </si>
  <si>
    <t>5.2.02.22.2.20.03</t>
  </si>
  <si>
    <t>Belanja Pemeliharaan Gedung</t>
  </si>
  <si>
    <t>5.2.02.22.2.25</t>
  </si>
  <si>
    <t>Belanja Pajak / Retribusi</t>
  </si>
  <si>
    <t>5.2.02.22.2.25.03</t>
  </si>
  <si>
    <t>Belanja Jasa Retribusi Kebersihan Kantor</t>
  </si>
  <si>
    <t>5.2.02.24</t>
  </si>
  <si>
    <t>5.2.02.24.2</t>
  </si>
  <si>
    <t>5.2.02.24.2.05</t>
  </si>
  <si>
    <t>5.2.02.24.2.05.01</t>
  </si>
  <si>
    <t>5.2.02.24.2.05.02</t>
  </si>
  <si>
    <t>Belanja Penggantian Suku Cadang</t>
  </si>
  <si>
    <t>5.2.02.24.2.05.03</t>
  </si>
  <si>
    <t>5.2.02.24.2.05.04</t>
  </si>
  <si>
    <t>Belanja Jasa KIR</t>
  </si>
  <si>
    <t>5.2.02.24.2.05.05</t>
  </si>
  <si>
    <t>Belanja Surat Tanda Nomor Kendaraan</t>
  </si>
  <si>
    <t>5.2.02.26</t>
  </si>
  <si>
    <t>5.2.02.26.2</t>
  </si>
  <si>
    <t>5.2.02.26.2.20</t>
  </si>
  <si>
    <t>5.2.02.26.2.20.18</t>
  </si>
  <si>
    <t>Belanja Pemeliharaan Mebelair</t>
  </si>
  <si>
    <t>5.2.02.28</t>
  </si>
  <si>
    <t>5.2.02.28.2</t>
  </si>
  <si>
    <t>5.2.02.28.2.20</t>
  </si>
  <si>
    <t>5.2.02.28.2.20.08</t>
  </si>
  <si>
    <t>Belanja Pemeliharaan Alat-alat Kantor</t>
  </si>
  <si>
    <t>5.2.02.42</t>
  </si>
  <si>
    <t>Rehabilitasi Sedang / Berat Gedung Kantor</t>
  </si>
  <si>
    <t>5.2.02.42.3</t>
  </si>
  <si>
    <t>BELANJA MODAL</t>
  </si>
  <si>
    <t>5.2.02.42.3.49</t>
  </si>
  <si>
    <t>Belanja Modal Gedung dan Bangunan - Pengadaan Bangunan Gedung Tempat Kerja</t>
  </si>
  <si>
    <t>5.2.02.42.3.49.01</t>
  </si>
  <si>
    <t>Belanja Modal Gedung dan Bangunan - Pengadaan Bangunan Gedung Kantor</t>
  </si>
  <si>
    <t>III</t>
  </si>
  <si>
    <t>5.2.05</t>
  </si>
  <si>
    <t>Program Peningkatan Kapasitas Sumber Daya Aparatur</t>
  </si>
  <si>
    <t>5.2.05.06</t>
  </si>
  <si>
    <t>Penilaian Angka Kredit (PAK)</t>
  </si>
  <si>
    <t>5.2.05.06.1</t>
  </si>
  <si>
    <t>5.2.05.06.1.01</t>
  </si>
  <si>
    <t>5.2.05.06.1.01.01</t>
  </si>
  <si>
    <t>Honorarium Tim / Panitia Pelaksana Kegiatan</t>
  </si>
  <si>
    <t>5.2.05.06.2</t>
  </si>
  <si>
    <t>5.2.05.06.2.01</t>
  </si>
  <si>
    <t>5.2.05.06.2.01.01</t>
  </si>
  <si>
    <t>5.2.05.06.2.06</t>
  </si>
  <si>
    <t>5.2.05.06.2.06.02</t>
  </si>
  <si>
    <t>5.2.05.06.2.11</t>
  </si>
  <si>
    <t>5.2.05.06.2.11.02</t>
  </si>
  <si>
    <t>5.2.05.06.2.15</t>
  </si>
  <si>
    <t>5.2.05.06.2.15.02</t>
  </si>
  <si>
    <t>IV</t>
  </si>
  <si>
    <t>5.2.06</t>
  </si>
  <si>
    <t>Program peningkatan pengembangan sistem pelaporan capaian kinerja dan keuangan</t>
  </si>
  <si>
    <t>5.2.06.01</t>
  </si>
  <si>
    <t>Penyusunan laporan capaian kinerja dan ikhtisar realisasi kinerja SKPD</t>
  </si>
  <si>
    <t>5.2.06.01.1</t>
  </si>
  <si>
    <t>5.2.06.01.1.01</t>
  </si>
  <si>
    <t>5.2.06.01.1.01.01</t>
  </si>
  <si>
    <t>5.2.06.01.1.03</t>
  </si>
  <si>
    <t>5.2.06.01.1.03.01</t>
  </si>
  <si>
    <t>5.2.06.01.2</t>
  </si>
  <si>
    <t>5.2.06.01.2.01</t>
  </si>
  <si>
    <t>5.2.06.01.2.01.01</t>
  </si>
  <si>
    <t>5.2.06.01.2.06</t>
  </si>
  <si>
    <t>5.2.06.01.2.06.02</t>
  </si>
  <si>
    <t>5.2.06.01.2.06.03</t>
  </si>
  <si>
    <t>Belanja Penjilidan</t>
  </si>
  <si>
    <t>5.2.06.01.2.11</t>
  </si>
  <si>
    <t>5.2.06.01.2.11.01</t>
  </si>
  <si>
    <t>Belanja makanan dan minuman harian</t>
  </si>
  <si>
    <t>5.2.06.01.2.15</t>
  </si>
  <si>
    <t>5.2.06.01.2.15.01</t>
  </si>
  <si>
    <t>5.2.06.01.2.15.02</t>
  </si>
  <si>
    <t>V</t>
  </si>
  <si>
    <t>5.2.15</t>
  </si>
  <si>
    <t>5.2.15.02</t>
  </si>
  <si>
    <t>Peningkatan Kerjasama antar Wilayah, Antar Pelaku dan Antar Sektor dalam rangka Pengembangan Kawasan Transmigrasi</t>
  </si>
  <si>
    <t>5.2.15.02.2</t>
  </si>
  <si>
    <t>5.2.15.02.2.01</t>
  </si>
  <si>
    <t>5.2.15.02.2.01.01</t>
  </si>
  <si>
    <t>5.2.15.02.2.01.04</t>
  </si>
  <si>
    <t>5.2.15.02.2.06</t>
  </si>
  <si>
    <t>5.2.15.02.2.06.02</t>
  </si>
  <si>
    <t>5.2.15.02.2.06.03</t>
  </si>
  <si>
    <t>5.2.15.02.2.08</t>
  </si>
  <si>
    <t>Belanja Sewa Sarana Mobilitas</t>
  </si>
  <si>
    <t>5.2.15.02.2.08.01</t>
  </si>
  <si>
    <t>Belanja sewa Sarana Mobilitas Darat</t>
  </si>
  <si>
    <t>5.2.15.02.2.15</t>
  </si>
  <si>
    <t>5.2.15.02.2.15.01</t>
  </si>
  <si>
    <t>5.2.15.02.2.15.02</t>
  </si>
  <si>
    <t>5.2.15.05</t>
  </si>
  <si>
    <t>Pengerahan dan Fasilitasi Perpindahan Serta Penempatan Transmigrasi Untuk Memenuhi kebutuhan SDM</t>
  </si>
  <si>
    <t>5.2.15.05.1</t>
  </si>
  <si>
    <t>TUNDA</t>
  </si>
  <si>
    <t>5.2.15.05.1.01</t>
  </si>
  <si>
    <t>5.2.15.05.1.01.01</t>
  </si>
  <si>
    <t>5.2.15.05.1.02</t>
  </si>
  <si>
    <t>Honorarium Non PNS</t>
  </si>
  <si>
    <t>5.2.15.05.1.02.01</t>
  </si>
  <si>
    <t>5.2.15.05.2</t>
  </si>
  <si>
    <t>5.2.15.05.2.01</t>
  </si>
  <si>
    <t>5.2.15.05.2.01.01</t>
  </si>
  <si>
    <t>5.2.15.05.2.01.04</t>
  </si>
  <si>
    <t>5.2.15.05.2.03</t>
  </si>
  <si>
    <t>5.2.15.05.2.03.13</t>
  </si>
  <si>
    <t>Belanja Dokumentasi / Dekorasi</t>
  </si>
  <si>
    <t>5.2.15.05.2.03.14</t>
  </si>
  <si>
    <t>5.2.15.05.2.03.17</t>
  </si>
  <si>
    <t>Belanja Transportasi dan/atau Akomodasi</t>
  </si>
  <si>
    <t>5.2.15.05.2.06</t>
  </si>
  <si>
    <t>5.2.15.05.2.06.01</t>
  </si>
  <si>
    <t>5.2.15.05.2.06.02</t>
  </si>
  <si>
    <t>5.2.15.05.2.08</t>
  </si>
  <si>
    <t>5.2.15.05.2.08.01</t>
  </si>
  <si>
    <t>5.2.15.05.2.11</t>
  </si>
  <si>
    <t>5.2.15.05.2.11.02</t>
  </si>
  <si>
    <t>5.2.15.05.2.15</t>
  </si>
  <si>
    <t>5.2.15.05.2.15.01</t>
  </si>
  <si>
    <t>5.2.15.05.2.15.02</t>
  </si>
  <si>
    <t>VI</t>
  </si>
  <si>
    <t>Program Peningkatan Kualitas dan Produktivitas Tenaga Kerja</t>
  </si>
  <si>
    <t>5.2.15.03</t>
  </si>
  <si>
    <t>Pengadaan peralatan pendidikan dan keterampilan bagi pencari kerja (DBHCHT)</t>
  </si>
  <si>
    <t>5.2.15.03.3</t>
  </si>
  <si>
    <t>5.2.15.03.3.28</t>
  </si>
  <si>
    <t>Belanja Modal Peralatan dan Mesin - Pengadaan Alat Rumah Tangga</t>
  </si>
  <si>
    <t>5.2.15.03.3.28.05</t>
  </si>
  <si>
    <t>Belanja Modal Peralatan dan Mesin - Pengadaan Alat Dapur</t>
  </si>
  <si>
    <t>5.2.15.03.3.29</t>
  </si>
  <si>
    <t>Belanja Modal Peralatan dan Mesin - Pengadaan  Komputer</t>
  </si>
  <si>
    <t>5.2.15.03.3.29.02</t>
  </si>
  <si>
    <t>Belanja Modal Peralatan dan Mesin - Pengadaan Personal Komputer</t>
  </si>
  <si>
    <t>5.2.15.03.3.29.05</t>
  </si>
  <si>
    <t>Belanja Modal Peralatan dan Mesin - Pengadaan Peralatan Personal Komputer</t>
  </si>
  <si>
    <t>5.2.15.12</t>
  </si>
  <si>
    <t>Pelatihan  Teknologi Tepat Guna (TTG) (DBHCHT)</t>
  </si>
  <si>
    <t>5.2.15.12.1</t>
  </si>
  <si>
    <t>5.2.15.12.1.01</t>
  </si>
  <si>
    <t>5.2.15.12.1.01.01</t>
  </si>
  <si>
    <t>5.2.15.12.1.01.02</t>
  </si>
  <si>
    <t>Honorarium Pengadaan Barang dan Jasa</t>
  </si>
  <si>
    <t>5.2.15.12.2</t>
  </si>
  <si>
    <t>5.2.15.12.2.01</t>
  </si>
  <si>
    <t>5.2.15.12.2.01.01</t>
  </si>
  <si>
    <t>5.2.15.12.2.02</t>
  </si>
  <si>
    <t>Belanja Bahan/Material</t>
  </si>
  <si>
    <t>5.2.15.12.2.02.10</t>
  </si>
  <si>
    <t>Belanja Bahan / Peralatan Praktik / Percontohan</t>
  </si>
  <si>
    <t>5.2.15.12.2.03</t>
  </si>
  <si>
    <t>5.2.15.12.2.03.17</t>
  </si>
  <si>
    <t>5.2.15.12.2.06</t>
  </si>
  <si>
    <t>5.2.15.12.2.06.01</t>
  </si>
  <si>
    <t>5.2.15.12.2.06.02</t>
  </si>
  <si>
    <t>5.2.15.12.2.11</t>
  </si>
  <si>
    <t>5.2.15.12.2.11.02</t>
  </si>
  <si>
    <t>5.2.15.12.2.15</t>
  </si>
  <si>
    <t>5.2.15.12.2.15.01</t>
  </si>
  <si>
    <t>5.2.15.12.2.27</t>
  </si>
  <si>
    <t>Belanja Jasa Tenaga Ahli / Instruktur / Narasumber</t>
  </si>
  <si>
    <t>5.2.15.12.2.27.01</t>
  </si>
  <si>
    <t>Belanja Jasa Tenaga Ahli/Instruktur/Narasumber</t>
  </si>
  <si>
    <t>5.2.15.14</t>
  </si>
  <si>
    <t>Rehabilitasi Gedung workshop BLK (DBHCHT)</t>
  </si>
  <si>
    <t>5.2.15.14.3</t>
  </si>
  <si>
    <t>5.2.15.14.3.49</t>
  </si>
  <si>
    <t>5.2.15.14.3.49.01</t>
  </si>
  <si>
    <t>5.2.15.16</t>
  </si>
  <si>
    <t>Pendidikan dan pelatihan keterampilan bagi pencari kerja (DBHCHT)</t>
  </si>
  <si>
    <t>5.2.15.16.1</t>
  </si>
  <si>
    <t>5.2.15.16.1.01</t>
  </si>
  <si>
    <t>5.2.15.16.1.01.01</t>
  </si>
  <si>
    <t>5.2.15.16.1.01.02</t>
  </si>
  <si>
    <t>5.2.15.16.2</t>
  </si>
  <si>
    <t>5.2.15.16.2.01</t>
  </si>
  <si>
    <t>5.2.15.16.2.01.01</t>
  </si>
  <si>
    <t>5.2.15.16.2.02</t>
  </si>
  <si>
    <t>5.2.15.16.2.02.10</t>
  </si>
  <si>
    <t>5.2.15.16.2.03</t>
  </si>
  <si>
    <t>5.2.15.16.2.03.13</t>
  </si>
  <si>
    <t>5.2.15.16.2.03.17</t>
  </si>
  <si>
    <t>5.2.15.16.2.06</t>
  </si>
  <si>
    <t>5.2.15.16.2.06.01</t>
  </si>
  <si>
    <t>5.2.15.16.2.06.02</t>
  </si>
  <si>
    <t>5.2.15.16.2.11</t>
  </si>
  <si>
    <t>5.2.15.16.2.11.02</t>
  </si>
  <si>
    <t>5.2.15.16.2.15</t>
  </si>
  <si>
    <t>5.2.15.16.2.15.01</t>
  </si>
  <si>
    <t>5.2.15.16.2.15.02</t>
  </si>
  <si>
    <t>5.2.15.16.2.27</t>
  </si>
  <si>
    <t>5.2.15.16.2.27.01</t>
  </si>
  <si>
    <t>5.2.15.17</t>
  </si>
  <si>
    <t>Pelatihan dan Sertifikasi Tenaga Kerja (DBHCHT)</t>
  </si>
  <si>
    <t>5.2.15.17.1</t>
  </si>
  <si>
    <t>5.2.15.17.1.01</t>
  </si>
  <si>
    <t>5.2.15.17.1.01.01</t>
  </si>
  <si>
    <t>5.2.15.17.1.01.02</t>
  </si>
  <si>
    <t>5.2.15.17.2</t>
  </si>
  <si>
    <t>5.2.15.17.2.01</t>
  </si>
  <si>
    <t>5.2.15.17.2.01.01</t>
  </si>
  <si>
    <t>5.2.15.17.2.02</t>
  </si>
  <si>
    <t>5.2.15.17.2.02.10</t>
  </si>
  <si>
    <t>5.2.15.17.2.03</t>
  </si>
  <si>
    <t>5.2.15.17.2.03.08</t>
  </si>
  <si>
    <t>Belanja Sertifikasi</t>
  </si>
  <si>
    <t>5.2.15.17.2.03.17</t>
  </si>
  <si>
    <t>5.2.15.17.2.06</t>
  </si>
  <si>
    <t>5.2.15.17.2.06.02</t>
  </si>
  <si>
    <t>5.2.15.17.2.11</t>
  </si>
  <si>
    <t>5.2.15.17.2.11.02</t>
  </si>
  <si>
    <t>5.2.15.17.2.15</t>
  </si>
  <si>
    <t>5.2.15.17.2.15.01</t>
  </si>
  <si>
    <t>5.2.15.17.2.15.02</t>
  </si>
  <si>
    <t>5.2.15.17.2.27</t>
  </si>
  <si>
    <t>5.2.15.17.2.27.01</t>
  </si>
  <si>
    <t>VII</t>
  </si>
  <si>
    <t>5.2.16</t>
  </si>
  <si>
    <t>Program Pengembangan Kewirausahaan dan Keunggulan Kompetitif Usaha Kecil Menengah</t>
  </si>
  <si>
    <t>5.2.16.13</t>
  </si>
  <si>
    <t>Fasilitasi Sertifikasi Halal</t>
  </si>
  <si>
    <t>5.2.16.13.1</t>
  </si>
  <si>
    <t>5.2.16.13.1.01</t>
  </si>
  <si>
    <t>5.2.16.13.1.01.01</t>
  </si>
  <si>
    <t>5.2.16.13.2</t>
  </si>
  <si>
    <t>5.2.16.13.2.01</t>
  </si>
  <si>
    <t>5.2.16.13.2.01.01</t>
  </si>
  <si>
    <t>5.2.16.13.2.03</t>
  </si>
  <si>
    <t>5.2.16.13.2.03.08</t>
  </si>
  <si>
    <t>5.2.16.13.2.03.17</t>
  </si>
  <si>
    <t>5.2.16.13.2.06</t>
  </si>
  <si>
    <t>5.2.16.13.2.06.02</t>
  </si>
  <si>
    <t>5.2.16.13.2.11</t>
  </si>
  <si>
    <t>5.2.16.13.2.11.02</t>
  </si>
  <si>
    <t>5.2.16.13.2.15</t>
  </si>
  <si>
    <t>5.2.16.13.2.15.01</t>
  </si>
  <si>
    <t>5.2.16.13.2.15.02</t>
  </si>
  <si>
    <t>5.2.16.13.2.27</t>
  </si>
  <si>
    <t>5.2.16.13.2.27.01</t>
  </si>
  <si>
    <t>VIII</t>
  </si>
  <si>
    <t>5.2.16.08</t>
  </si>
  <si>
    <t>Pembinaan dan Pengendalian LPPS dan LPTKS</t>
  </si>
  <si>
    <t>5.2.16.08.1</t>
  </si>
  <si>
    <t>5.2.16.08.1.01</t>
  </si>
  <si>
    <t>5.2.16.08.1.01.01</t>
  </si>
  <si>
    <t>5.2.16.08.2</t>
  </si>
  <si>
    <t>5.2.16.08.2.01</t>
  </si>
  <si>
    <t>5.2.16.08.2.01.01</t>
  </si>
  <si>
    <t>5.2.16.08.2.03</t>
  </si>
  <si>
    <t>5.2.16.08.2.03.17</t>
  </si>
  <si>
    <t>5.2.16.08.2.06</t>
  </si>
  <si>
    <t>5.2.16.08.2.06.02</t>
  </si>
  <si>
    <t>5.2.16.08.2.11</t>
  </si>
  <si>
    <t>5.2.16.08.2.11.02</t>
  </si>
  <si>
    <t>5.2.16.08.2.15</t>
  </si>
  <si>
    <t>5.2.16.08.2.15.01</t>
  </si>
  <si>
    <t>5.2.16.08.2.15.02</t>
  </si>
  <si>
    <t>5.2.16.08.2.27</t>
  </si>
  <si>
    <t>5.2.16.08.2.27.01</t>
  </si>
  <si>
    <t>5.2.16.13.2.03.13</t>
  </si>
  <si>
    <t>5.2.16.13.2.06.01</t>
  </si>
  <si>
    <t>5.2.16.17</t>
  </si>
  <si>
    <t>Pelatihan Wira Usaha Baru (WUB) DBHCHT</t>
  </si>
  <si>
    <t>5.2.16.17.1</t>
  </si>
  <si>
    <t>5.2.16.17.1.01</t>
  </si>
  <si>
    <t>5.2.16.17.1.01.01</t>
  </si>
  <si>
    <t>5.2.16.17.1.01.02</t>
  </si>
  <si>
    <t>5.2.16.17.2</t>
  </si>
  <si>
    <t>5.2.16.17.2.01</t>
  </si>
  <si>
    <t>5.2.16.17.2.01.01</t>
  </si>
  <si>
    <t>5.2.16.17.2.02</t>
  </si>
  <si>
    <t>5.2.16.17.2.02.10</t>
  </si>
  <si>
    <t>5.2.16.17.2.03</t>
  </si>
  <si>
    <t>5.2.16.17.2.03.17</t>
  </si>
  <si>
    <t>5.2.16.17.2.06</t>
  </si>
  <si>
    <t>5.2.16.17.2.06.01</t>
  </si>
  <si>
    <t>5.2.16.17.2.06.02</t>
  </si>
  <si>
    <t>5.2.16.17.2.11</t>
  </si>
  <si>
    <t>5.2.16.17.2.11.02</t>
  </si>
  <si>
    <t>5.2.16.17.2.15</t>
  </si>
  <si>
    <t>5.2.16.17.2.15.01</t>
  </si>
  <si>
    <t>5.2.16.17.2.15.02</t>
  </si>
  <si>
    <t>5.2.16.17.2.27</t>
  </si>
  <si>
    <t>5.2.16.17.2.27.01</t>
  </si>
  <si>
    <t>5.2.16.18</t>
  </si>
  <si>
    <t>Pelatihan Ketrampilan di Lingkungan Penghasil Tembakau (DBHCHT)</t>
  </si>
  <si>
    <t>5.2.16.18.1</t>
  </si>
  <si>
    <t>5.2.16.18.1.01</t>
  </si>
  <si>
    <t>5.2.16.18.1.01.01</t>
  </si>
  <si>
    <t>5.2.16.18.1.01.02</t>
  </si>
  <si>
    <t>5.2.16.18.2</t>
  </si>
  <si>
    <t>5.2.16.18.2.01</t>
  </si>
  <si>
    <t>5.2.16.18.2.01.01</t>
  </si>
  <si>
    <t>5.2.16.18.2.02</t>
  </si>
  <si>
    <t>5.2.16.18.2.02.10</t>
  </si>
  <si>
    <t>5.2.16.18.2.03</t>
  </si>
  <si>
    <t>5.2.16.18.2.03.13</t>
  </si>
  <si>
    <t>5.2.16.18.2.03.17</t>
  </si>
  <si>
    <t>5.2.16.18.2.06</t>
  </si>
  <si>
    <t>5.2.16.18.2.06.01</t>
  </si>
  <si>
    <t>5.2.16.18.2.06.02</t>
  </si>
  <si>
    <t>5.2.16.18.2.11</t>
  </si>
  <si>
    <t>5.2.16.18.2.11.02</t>
  </si>
  <si>
    <t>5.2.16.18.2.15</t>
  </si>
  <si>
    <t>5.2.16.18.2.15.01</t>
  </si>
  <si>
    <t>5.2.16.18.2.15.02</t>
  </si>
  <si>
    <t>5.2.16.18.2.27</t>
  </si>
  <si>
    <t>5.2.16.18.2.27.01</t>
  </si>
  <si>
    <t>5.2.16.20</t>
  </si>
  <si>
    <t>Informasi Pasar Kerja/Bursa kerja/job fair</t>
  </si>
  <si>
    <t>5.2.16.20.1</t>
  </si>
  <si>
    <t>5.2.16.20.1.01</t>
  </si>
  <si>
    <t>5.2.16.20.1.01.01</t>
  </si>
  <si>
    <t>5.2.16.20.2</t>
  </si>
  <si>
    <t>5.2.16.20.2.01</t>
  </si>
  <si>
    <t>5.2.16.20.2.01.01</t>
  </si>
  <si>
    <t>5.2.16.20.2.03</t>
  </si>
  <si>
    <t>5.2.16.20.2.03.13</t>
  </si>
  <si>
    <t>5.2.16.20.2.03.14</t>
  </si>
  <si>
    <t>5.2.16.20.2.06</t>
  </si>
  <si>
    <t>5.2.16.20.2.06.01</t>
  </si>
  <si>
    <t>5.2.16.20.2.06.02</t>
  </si>
  <si>
    <t>5.2.16.20.2.10</t>
  </si>
  <si>
    <t>Belanja Sewa Perlengkapan dan Peralatan Kantor</t>
  </si>
  <si>
    <t>5.2.16.20.2.10.01</t>
  </si>
  <si>
    <t>Belanja sewa meja kursi</t>
  </si>
  <si>
    <t>5.2.16.20.2.10.08</t>
  </si>
  <si>
    <t>Belanja sewa perlengkapan dan peralatan kantor lainnya</t>
  </si>
  <si>
    <t>5.2.16.20.2.11</t>
  </si>
  <si>
    <t>5.2.16.20.2.11.01</t>
  </si>
  <si>
    <t>5.2.16.20.2.15</t>
  </si>
  <si>
    <t>5.2.16.20.2.15.01</t>
  </si>
  <si>
    <t>5.2.16.20.2.15.02</t>
  </si>
  <si>
    <t>5.2.16.22</t>
  </si>
  <si>
    <t>Penempatan Tenaga Kerja melalui Mekanisme AKAL, AKAD dan AKAN</t>
  </si>
  <si>
    <t>5.2.16.22.1</t>
  </si>
  <si>
    <t>5.2.16.22.1.01</t>
  </si>
  <si>
    <t>5.2.16.22.1.01.01</t>
  </si>
  <si>
    <t>5.2.16.22.1.02,02</t>
  </si>
  <si>
    <t>Hnorarium Pegawai Honorer/tidak tetap ( Non PNS )</t>
  </si>
  <si>
    <t>5.2.16.22.2</t>
  </si>
  <si>
    <t>5.2.16.22.2.01</t>
  </si>
  <si>
    <t>5.2.16.22.2.01.01</t>
  </si>
  <si>
    <t>5.2.16.22.2.03</t>
  </si>
  <si>
    <t>5.2.16.22.2.03.08</t>
  </si>
  <si>
    <t>5.2.16.22.2.03.17</t>
  </si>
  <si>
    <t>5.2.16.22.2.06</t>
  </si>
  <si>
    <t>5.2.16.22.2.06.01</t>
  </si>
  <si>
    <t>5.2.16.22.2.06.02</t>
  </si>
  <si>
    <t>5.2.16.22.2.11</t>
  </si>
  <si>
    <t>5.2.16.22.2.11.02</t>
  </si>
  <si>
    <t>5.2.16.22.2.15</t>
  </si>
  <si>
    <t>5.2.16.22.2.15.01</t>
  </si>
  <si>
    <t>5.2.16.22.2.15.02</t>
  </si>
  <si>
    <t>5.2.16.22.2.27</t>
  </si>
  <si>
    <t>5.2.16.22.2.27.01</t>
  </si>
  <si>
    <t>IX</t>
  </si>
  <si>
    <t>5.2.17</t>
  </si>
  <si>
    <t>5.2.17.16</t>
  </si>
  <si>
    <t>Pembinaan Ketrampilan masyarakat di Lingkungan IHT (DBHCHT)</t>
  </si>
  <si>
    <t>5.2.17.16.1</t>
  </si>
  <si>
    <t>5.2.17.16.1.01</t>
  </si>
  <si>
    <t>5.2.17.16.1.01.01</t>
  </si>
  <si>
    <t>5.2.17.16.2</t>
  </si>
  <si>
    <t>5.2.17.16.2.01</t>
  </si>
  <si>
    <t>5.2.17.16.2.01.01</t>
  </si>
  <si>
    <t>5.2.17.16.2.02</t>
  </si>
  <si>
    <t>5.2.17.16.2.02.09</t>
  </si>
  <si>
    <t>Belanja Hadiah, Tropi, Sertifikat dan yang Sejenis</t>
  </si>
  <si>
    <t>5.2.17.16.2.02.10</t>
  </si>
  <si>
    <t>5.2.17.16.2.03</t>
  </si>
  <si>
    <t>5.2.17.16.2.03.13</t>
  </si>
  <si>
    <t>5.2.17.16.2.03.15</t>
  </si>
  <si>
    <t>Belanja Iklan / Publikasi</t>
  </si>
  <si>
    <t>5.2.17.16.2.03.17</t>
  </si>
  <si>
    <t>5.2.17.16.2.06</t>
  </si>
  <si>
    <t>5.2.17.16.2.06.02</t>
  </si>
  <si>
    <t>5.2.17.16.2.11</t>
  </si>
  <si>
    <t>5.2.17.16.2.11.02</t>
  </si>
  <si>
    <t>5.2.17.16.2.15</t>
  </si>
  <si>
    <t>5.2.17.16.2.15.01</t>
  </si>
  <si>
    <t>5.2.17.16.2.15.02</t>
  </si>
  <si>
    <t>Belanja perjalanan dinas luar  daerah</t>
  </si>
  <si>
    <t>5.2.17.16.2.27</t>
  </si>
  <si>
    <t>5.2.17.16.2.27.01</t>
  </si>
  <si>
    <t>5.2.17.16.3</t>
  </si>
  <si>
    <t>5.2.17.16.3.31</t>
  </si>
  <si>
    <t>Belanja Modal Peralatan dan Mesin - Pengadaan Alat Studio</t>
  </si>
  <si>
    <t>5.2.17.16.3.31.01</t>
  </si>
  <si>
    <t>Belanja Modal Peralatan dan Mesin - Pengadaan Peralatan Studio Visual</t>
  </si>
  <si>
    <t>X</t>
  </si>
  <si>
    <t>Program Perlindungan Pengembangan Lembaga Ketenagakerjaan</t>
  </si>
  <si>
    <t>5.2.17.09</t>
  </si>
  <si>
    <t>Survey Harga Kebutuhan Hidup Layak ( KHL ) Pekerja Lajang</t>
  </si>
  <si>
    <t>5.2.17.09.1</t>
  </si>
  <si>
    <t>5.2.17.09.1.02</t>
  </si>
  <si>
    <t>5.2.17.09.1.02.01</t>
  </si>
  <si>
    <t>5.2.17.09.2</t>
  </si>
  <si>
    <t>5.2.17.09.2.01</t>
  </si>
  <si>
    <t>5.2.17.09.2.01.01</t>
  </si>
  <si>
    <t>5.2.17.09.2.06</t>
  </si>
  <si>
    <t>5.2.17.09.2.06.02</t>
  </si>
  <si>
    <t>5.2.17.09.2.11</t>
  </si>
  <si>
    <t>5.2.17.09.2.11.02</t>
  </si>
  <si>
    <t>5.2.17.09.2.15</t>
  </si>
  <si>
    <t>5.2.17.09.2.15.01</t>
  </si>
  <si>
    <t>5.2.17.10</t>
  </si>
  <si>
    <t>Pelaksanaan Fungsi Dewan Pengupahan</t>
  </si>
  <si>
    <t>5.2.17.10.1</t>
  </si>
  <si>
    <t>5.2.17.10.1.01</t>
  </si>
  <si>
    <t>5.2.17.10.1.01.01</t>
  </si>
  <si>
    <t>5.2.17.10.1.02</t>
  </si>
  <si>
    <t>5.2.17.10.1.02.01</t>
  </si>
  <si>
    <t>5.2.17.10.2</t>
  </si>
  <si>
    <t>5.2.17.10.2.01</t>
  </si>
  <si>
    <t>5.2.17.10.2.01.01</t>
  </si>
  <si>
    <t>5.2.17.10.2.06</t>
  </si>
  <si>
    <t>5.2.17.10.2.06.02</t>
  </si>
  <si>
    <t>5.2.17.10.2.11</t>
  </si>
  <si>
    <t>5.2.17.10.2.11.01</t>
  </si>
  <si>
    <t>5.2.17.10.2.15</t>
  </si>
  <si>
    <t>5.2.17.10.2.15.01</t>
  </si>
  <si>
    <t>5.2.17.10.2.15.02</t>
  </si>
  <si>
    <t>5.2.17.14</t>
  </si>
  <si>
    <t>Penyelesaian PHI dan PHK</t>
  </si>
  <si>
    <t>5.2.17.14.1</t>
  </si>
  <si>
    <t>5.2.17.14.1.01</t>
  </si>
  <si>
    <t>5.2.17.14.1.01.01</t>
  </si>
  <si>
    <t>5.2.17.14.2</t>
  </si>
  <si>
    <t>5.2.17.14.2.01</t>
  </si>
  <si>
    <t>5.2.17.14.2.01.01</t>
  </si>
  <si>
    <t>5.2.17.14.2.06</t>
  </si>
  <si>
    <t>5.2.17.14.2.06.02</t>
  </si>
  <si>
    <t>5.2.17.14.2.11</t>
  </si>
  <si>
    <t>5.2.17.14.2.11.02</t>
  </si>
  <si>
    <t>5.2.17.14.2.15</t>
  </si>
  <si>
    <t>5.2.17.14.2.15.01</t>
  </si>
  <si>
    <t>5.2.17.14.2.15.02</t>
  </si>
  <si>
    <t>5.2.17.15</t>
  </si>
  <si>
    <t>Bimbingan teknis penyelesaian PHI/PHK</t>
  </si>
  <si>
    <t>5.2.17.15.1</t>
  </si>
  <si>
    <t>5.2.17.15.1.01</t>
  </si>
  <si>
    <t>5.2.17.15.1.01.01</t>
  </si>
  <si>
    <t>5.2.17.15.2</t>
  </si>
  <si>
    <t>5.2.17.15.2.01</t>
  </si>
  <si>
    <t>5.2.17.15.2.01.01</t>
  </si>
  <si>
    <t>5.2.17.15.2.03</t>
  </si>
  <si>
    <t>5.2.17.15.2.03.17</t>
  </si>
  <si>
    <t>5.2.17.15.2.06</t>
  </si>
  <si>
    <t>5.2.17.15.2.06.02</t>
  </si>
  <si>
    <t>5.2.17.15.2.11</t>
  </si>
  <si>
    <t>5.2.17.15.2.11.02</t>
  </si>
  <si>
    <t>5.2.17.15.2.15</t>
  </si>
  <si>
    <t>5.2.17.15.2.15.01</t>
  </si>
  <si>
    <t>5.2.17.15.2.27</t>
  </si>
  <si>
    <t>5.2.17.15.2.27.01</t>
  </si>
  <si>
    <t>5.2.17.19</t>
  </si>
  <si>
    <t>Fasilitasi Hari Buruh (May Day)</t>
  </si>
  <si>
    <t>5.2.17.19.1</t>
  </si>
  <si>
    <t>5.2.17.19.1.01</t>
  </si>
  <si>
    <t>5.2.17.19.1.01.01</t>
  </si>
  <si>
    <t>5.2.17.19.2</t>
  </si>
  <si>
    <t>5.2.17.19.2.01</t>
  </si>
  <si>
    <t>5.2.17.19.2.01.01</t>
  </si>
  <si>
    <t>5.2.17.19.2.03</t>
  </si>
  <si>
    <t>5.2.17.19.2.03.13</t>
  </si>
  <si>
    <t>5.2.17.19.2.03.17</t>
  </si>
  <si>
    <t>5.2.17.19.2.06</t>
  </si>
  <si>
    <t>5.2.17.19.2.06.02</t>
  </si>
  <si>
    <t>5.2.17.19.2.07</t>
  </si>
  <si>
    <t>Belanja Sewa Rumah/Gedung/Gudang/Tempat</t>
  </si>
  <si>
    <t>5.2.17.19.2.07.02</t>
  </si>
  <si>
    <t>Belanja sewa gedung/kantor/tempat</t>
  </si>
  <si>
    <t>5.2.17.19.2.10</t>
  </si>
  <si>
    <t>5.2.17.19.2.10.01</t>
  </si>
  <si>
    <t>5.2.17.19.2.10.04</t>
  </si>
  <si>
    <t>Belanja sewa generator</t>
  </si>
  <si>
    <t>5.2.17.19.2.10.05</t>
  </si>
  <si>
    <t>Belanja sewa tenda</t>
  </si>
  <si>
    <t>5.2.17.19.2.10.07</t>
  </si>
  <si>
    <t>Belanja Sewa Sound System</t>
  </si>
  <si>
    <t>5.2.17.19.2.10.08</t>
  </si>
  <si>
    <t>5.2.17.19.2.11</t>
  </si>
  <si>
    <t>5.2.17.19.2.11.02</t>
  </si>
  <si>
    <t>5.2.17.19.2.15</t>
  </si>
  <si>
    <t>5.2.17.19.2.15.01</t>
  </si>
  <si>
    <t>5.2.17.19.2.15.02</t>
  </si>
  <si>
    <t>5.2.17.20</t>
  </si>
  <si>
    <t>5.2.17.20.1</t>
  </si>
  <si>
    <t>5.2.17.20.1.01</t>
  </si>
  <si>
    <t>5.2.17.20.1.01.01</t>
  </si>
  <si>
    <t>5.2.17.20.2</t>
  </si>
  <si>
    <t>5.2.17.20.2.01</t>
  </si>
  <si>
    <t>5.2.17.20.2.01.01</t>
  </si>
  <si>
    <t>5.2.17.20.2.03</t>
  </si>
  <si>
    <t>5.2.17.20.2.03.13</t>
  </si>
  <si>
    <t>5.2.17.20.2.03.17</t>
  </si>
  <si>
    <t>5.2.17.20.2.06</t>
  </si>
  <si>
    <t>5.2.17.20.2.06.02</t>
  </si>
  <si>
    <t>5.2.17.20.2.11</t>
  </si>
  <si>
    <t>5.2.17.20.2.11.02</t>
  </si>
  <si>
    <t>5.2.17.20.2.15</t>
  </si>
  <si>
    <t>5.2.17.20.2.15.01</t>
  </si>
  <si>
    <t>5.2.17.20.2.15.02</t>
  </si>
  <si>
    <t>5.2.17.20.2.27</t>
  </si>
  <si>
    <t>5.2.17.20.2.27.01</t>
  </si>
  <si>
    <t>XI</t>
  </si>
  <si>
    <t>5.2.19</t>
  </si>
  <si>
    <t>Program Pengembangan Sentra-Sentra Industri Potensial</t>
  </si>
  <si>
    <t>5.2.19.03</t>
  </si>
  <si>
    <t>5.2.19.03.1</t>
  </si>
  <si>
    <t>5.2.19.03.1.01</t>
  </si>
  <si>
    <t>5.2.19.03.1.01.01</t>
  </si>
  <si>
    <t>5.2.19.03.1.01.02</t>
  </si>
  <si>
    <t>5.2.19.03.2</t>
  </si>
  <si>
    <t>5.2.19.03.2.01</t>
  </si>
  <si>
    <t>5.2.19.03.2.01.01</t>
  </si>
  <si>
    <t>5.2.19.03.2.03</t>
  </si>
  <si>
    <t>5.2.19.03.2.03.13</t>
  </si>
  <si>
    <t>5.2.19.03.2.03.17</t>
  </si>
  <si>
    <t>5.2.19.03.2.03.20</t>
  </si>
  <si>
    <t>Belanja Kerjasama</t>
  </si>
  <si>
    <t>5.2.19.03.2.03.24</t>
  </si>
  <si>
    <t>Belanja Tiket / Karcis, Pendaftaran dan yang Sejenisnya</t>
  </si>
  <si>
    <t>5.2.19.03.2.06</t>
  </si>
  <si>
    <t>5.2.19.03.2.06.01</t>
  </si>
  <si>
    <t>5.2.19.03.2.06.02</t>
  </si>
  <si>
    <t>5.2.19.03.2.07</t>
  </si>
  <si>
    <t>2 BH</t>
  </si>
  <si>
    <t>5.2.19.03.2.07.02</t>
  </si>
  <si>
    <t>5.2.19.03.2.08</t>
  </si>
  <si>
    <t>5.2.19.03.2.08.01</t>
  </si>
  <si>
    <t>5.2.19.03.2.11</t>
  </si>
  <si>
    <t>5.2.19.03.2.11.02</t>
  </si>
  <si>
    <t>5.2.19.03.2.14</t>
  </si>
  <si>
    <t>Belanja Pakaian khusus dan hari-hari tertentu</t>
  </si>
  <si>
    <t>5.2.19.03.2.14.09</t>
  </si>
  <si>
    <t>Belanja pakaian khusus dan hari-hari tertentu lainnya</t>
  </si>
  <si>
    <t>5.2.19.03.2.15</t>
  </si>
  <si>
    <t>5.2.19.03.2.15.01</t>
  </si>
  <si>
    <t>5.2.19.03.2.15.02</t>
  </si>
  <si>
    <t>5.2.19.03.2.27</t>
  </si>
  <si>
    <t>5.2.19.03.2.27.01</t>
  </si>
  <si>
    <t>5.2.19.05</t>
  </si>
  <si>
    <t>5.2.19.05.1</t>
  </si>
  <si>
    <t xml:space="preserve">                 </t>
  </si>
  <si>
    <t>5.2.19.05.1.01</t>
  </si>
  <si>
    <t>5.2.19.05.1.01.01</t>
  </si>
  <si>
    <t>5.2.19.05.1.01.02</t>
  </si>
  <si>
    <t>5.2.19.05.2</t>
  </si>
  <si>
    <t>5.2.19.05.2.01</t>
  </si>
  <si>
    <t>5.2.19.05.2.01.01</t>
  </si>
  <si>
    <t>5.2.19.05.2.03</t>
  </si>
  <si>
    <t>5.2.19.05.2.03.13</t>
  </si>
  <si>
    <t>5.2.19.05.2.03.15</t>
  </si>
  <si>
    <t>5.2.19.05.2.03.17</t>
  </si>
  <si>
    <t>5.2.19.05.2.06</t>
  </si>
  <si>
    <t>5.2.19.05.2.06.01</t>
  </si>
  <si>
    <t>5.2.19.05.2.06.02</t>
  </si>
  <si>
    <t>5.2.19.05.2.06.03</t>
  </si>
  <si>
    <t>5.2.19.05.2.07</t>
  </si>
  <si>
    <t>5.2.19.05.2.07.02</t>
  </si>
  <si>
    <t>5.2.19.05.2.08</t>
  </si>
  <si>
    <t>5.2.19.05.2.08.01</t>
  </si>
  <si>
    <t>5.2.19.05.2.11</t>
  </si>
  <si>
    <t>5.2.19.05.2.11.02</t>
  </si>
  <si>
    <t>5.2.19.05.2.15</t>
  </si>
  <si>
    <t>5.2.19.05.2.15.01</t>
  </si>
  <si>
    <t>5.2.19.05.2.15.02</t>
  </si>
  <si>
    <t>5.2.19.05.2.21</t>
  </si>
  <si>
    <t>Belanja Jasa Konsultansi</t>
  </si>
  <si>
    <t>5.2.19.05.2.21.04</t>
  </si>
  <si>
    <t>Belanja Jasa Konsultan Lainnya</t>
  </si>
  <si>
    <t>5.2.19.05.2.27</t>
  </si>
  <si>
    <t>5.2.19.05.2.27.01</t>
  </si>
  <si>
    <t>5.2.19.10</t>
  </si>
  <si>
    <t>Pengembangan Sentra Industri Kecil (DBHCHT)</t>
  </si>
  <si>
    <t>5.2.19.10.1</t>
  </si>
  <si>
    <t>5.2.19.10.1.01</t>
  </si>
  <si>
    <t>5.2.19.10.1.01.01</t>
  </si>
  <si>
    <t>5.2.19.10.1.01.02</t>
  </si>
  <si>
    <t>5.2.19.10.2</t>
  </si>
  <si>
    <t>5.2.19.10.2.01</t>
  </si>
  <si>
    <t>5.2.19.10.2.01.01</t>
  </si>
  <si>
    <t>5.2.19.10.2.02</t>
  </si>
  <si>
    <t>5.2.19.10.2.02.09</t>
  </si>
  <si>
    <t>5.2.19.10.2.02.10</t>
  </si>
  <si>
    <t>5.2.19.10.2.03</t>
  </si>
  <si>
    <t>5.2.19.10.2.03.08</t>
  </si>
  <si>
    <t>5.2.19.10.2.03.13</t>
  </si>
  <si>
    <t>5.2.19.10.2.03.17</t>
  </si>
  <si>
    <t>5.2.19.10.2.06</t>
  </si>
  <si>
    <t>5.2.19.10.2.06.02</t>
  </si>
  <si>
    <t>5.2.19.10.2.07</t>
  </si>
  <si>
    <t>5.2.19.10.2.07.02</t>
  </si>
  <si>
    <t>5.2.19.10.2.08</t>
  </si>
  <si>
    <t>5.2.19.10.2.08.01</t>
  </si>
  <si>
    <t>5.2.19.10.2.11</t>
  </si>
  <si>
    <t>5.2.19.10.2.11.02</t>
  </si>
  <si>
    <t>5.2.19.10.2.15</t>
  </si>
  <si>
    <t>5.2.19.10.2.15.01</t>
  </si>
  <si>
    <t>5.2.19.10.2.15.02</t>
  </si>
  <si>
    <t>5.2.19.10.2.27</t>
  </si>
  <si>
    <t>5.2.19.10.2.27.01</t>
  </si>
  <si>
    <t>XII</t>
  </si>
  <si>
    <t>5.2.21</t>
  </si>
  <si>
    <t>5.2.21.19</t>
  </si>
  <si>
    <t>Penyusunan renja SKPD</t>
  </si>
  <si>
    <t>5.2.21.19.1</t>
  </si>
  <si>
    <t>5.2.21.19.1.01.01</t>
  </si>
  <si>
    <t>5.2.21.19.2</t>
  </si>
  <si>
    <t>5.2.21.19.2.01</t>
  </si>
  <si>
    <t>5.2.21.19.2.01.01</t>
  </si>
  <si>
    <t>5.2.21.19.2.06</t>
  </si>
  <si>
    <t>5.2.21.19.2.06.01</t>
  </si>
  <si>
    <t>5.2.21.19.2.06.02</t>
  </si>
  <si>
    <t>5.2.21.19.2.06.03</t>
  </si>
  <si>
    <t>5.2.21.19.2.11</t>
  </si>
  <si>
    <t>5.2.21.19.2.11.02</t>
  </si>
  <si>
    <t>5.2.21.19.2.15</t>
  </si>
  <si>
    <t>5.2.21.19.2.15.01</t>
  </si>
  <si>
    <t>5.2.21.19.2.15.02</t>
  </si>
  <si>
    <t>5.2.21.19.2.27</t>
  </si>
  <si>
    <t>5.2.21.19.2.27.01</t>
  </si>
  <si>
    <t>5.2.21.33</t>
  </si>
  <si>
    <t>Updating Data Perindustrian dan Ketenagakerjaan</t>
  </si>
  <si>
    <t>5.2.21.33.1</t>
  </si>
  <si>
    <t>5.2.21.33.1.01</t>
  </si>
  <si>
    <t>5.2.21.33.1.01.01</t>
  </si>
  <si>
    <t>5.2.21.33.1.03</t>
  </si>
  <si>
    <t>5.2.21.33.1.03.01</t>
  </si>
  <si>
    <t>5.2.21.33.1.03.02</t>
  </si>
  <si>
    <t>Uang Lembur Non PNS</t>
  </si>
  <si>
    <t>5.2.21.33.2</t>
  </si>
  <si>
    <t>5.2.21.33.2.01</t>
  </si>
  <si>
    <t>5.2.21.33.2.01.01</t>
  </si>
  <si>
    <t>5.2.21.33.2.03</t>
  </si>
  <si>
    <t>5.2.21.33.2.03.13</t>
  </si>
  <si>
    <t>5.2.21.33.2.03.14</t>
  </si>
  <si>
    <t>5.2.21.33.2.06</t>
  </si>
  <si>
    <t>5.2.21.33.2.06.02</t>
  </si>
  <si>
    <t>5.2.21.33.2.06.03</t>
  </si>
  <si>
    <t>5.2.21.33.2.11</t>
  </si>
  <si>
    <t>5.2.21.33.2.11.02</t>
  </si>
  <si>
    <t>5.2.21.33.2.15</t>
  </si>
  <si>
    <t>5.2.21.33.2.15.01</t>
  </si>
  <si>
    <t>5.2.21.33.2.15.02</t>
  </si>
  <si>
    <t>5.2.21.33.2.27</t>
  </si>
  <si>
    <t>5.2.21.33.2.27.01</t>
  </si>
  <si>
    <t>tdk di ambil</t>
  </si>
  <si>
    <t>Kode Rekening</t>
  </si>
  <si>
    <t>Anggaran Tahun 2019</t>
  </si>
  <si>
    <t>Belum Terealisasi</t>
  </si>
  <si>
    <t>201.2010101.00.000.4</t>
  </si>
  <si>
    <t>PENDAPATAN</t>
  </si>
  <si>
    <t>201.2010101.00.000.4.1</t>
  </si>
  <si>
    <t>PENDAPATAN ASLI DAERAH</t>
  </si>
  <si>
    <t>201.2010101.00.000.4.1.2</t>
  </si>
  <si>
    <t>201.2010101.00.000.4.1.2.02</t>
  </si>
  <si>
    <t>Retribusi Jasa Usaha</t>
  </si>
  <si>
    <t>201.2010101.00.000.4.1.2.02.01</t>
  </si>
  <si>
    <t>201.2010101.00.000.4.1.2.03.12</t>
  </si>
  <si>
    <t>Pemberian Pinjaman IMTA Kepada Pemberi Kerja Tenaga Kerja Asing</t>
  </si>
  <si>
    <t>201.2010101.00.000.5.1</t>
  </si>
  <si>
    <t>201.2010101.00.000.5.1.1</t>
  </si>
  <si>
    <t>201.2010101.00.000.5.1.1.01</t>
  </si>
  <si>
    <t>201.2010101.00.000.5.1.1.01.01</t>
  </si>
  <si>
    <t>201.2010101.00.000.5.1.1.01.02</t>
  </si>
  <si>
    <t>201.2010101.00.000.5.1.1.01.03</t>
  </si>
  <si>
    <t>Tunjangan Jabatan 2)</t>
  </si>
  <si>
    <t>201.2010101.00.000.5.1.1.01.04</t>
  </si>
  <si>
    <t>201.2010101.00.000.5.1.1.01.05</t>
  </si>
  <si>
    <t>201.2010101.00.000.5.1.1.01.06</t>
  </si>
  <si>
    <t>Tunjangan Beras 1)</t>
  </si>
  <si>
    <t>201.2010101.00.000.5.1.1.01.07</t>
  </si>
  <si>
    <t>201.2010101.00.000.5.1.1.01.08</t>
  </si>
  <si>
    <t>201.2010101.00.000.5.1.1.01.21</t>
  </si>
  <si>
    <t>201.2010101.00.000.5.1.1.01.22</t>
  </si>
  <si>
    <t>201.2010101.00.000.5.1.1.02</t>
  </si>
  <si>
    <t>201.2010101.00.000.5.1.1.02.01</t>
  </si>
  <si>
    <t>201.2010101.00.000.5.1.1.06</t>
  </si>
  <si>
    <t>201.2010101.00.000.5.1.1.06.16</t>
  </si>
  <si>
    <t xml:space="preserve">Insentif Pemungutan Retribusi Daerah - Pemakaian Kekayaan Daerah </t>
  </si>
  <si>
    <t>C</t>
  </si>
  <si>
    <t>201.2010101.00.000.5.2</t>
  </si>
  <si>
    <t>BELANJA LANGSUNG</t>
  </si>
  <si>
    <t>201.2010101.01</t>
  </si>
  <si>
    <t>201.2010101.01.001</t>
  </si>
  <si>
    <t>201.2010101.01.001.5.2.2</t>
  </si>
  <si>
    <t>201.2010101.01.001.5.2.2.01</t>
  </si>
  <si>
    <t>201.2010101.01.001.5.2.2.01.01</t>
  </si>
  <si>
    <t>201.2010101.01.001.5.2.2.06</t>
  </si>
  <si>
    <t>201.2010101.01.001.5.2.2.06.01</t>
  </si>
  <si>
    <t>201.2010101.01.001.5.2.2.06.02</t>
  </si>
  <si>
    <t>201.2010101.01.002</t>
  </si>
  <si>
    <t>201.2010101.01.002.5.2.2</t>
  </si>
  <si>
    <t>201.2010101.01.002.5.2.2.03</t>
  </si>
  <si>
    <t>201.2010101.01.002.5.2.2.03.01</t>
  </si>
  <si>
    <t>201.2010101.01.002.5.2.2.03.02</t>
  </si>
  <si>
    <t>201.2010101.01.002.5.2.2.03.03</t>
  </si>
  <si>
    <t>201.2010101.01.002.5.2.2.03.05</t>
  </si>
  <si>
    <t>201.2010101.01.002.5.2.2.03.06</t>
  </si>
  <si>
    <t>201.2010101.01.007</t>
  </si>
  <si>
    <t>201.2010101.01.007.5.2.1</t>
  </si>
  <si>
    <t>201.2010101.01.007.5.2.1.01</t>
  </si>
  <si>
    <t>201.2010101.01.007.5.2.1.01.03</t>
  </si>
  <si>
    <t>201.2010101.01.007.5.2.1.03</t>
  </si>
  <si>
    <t>201.2010101.01.007.5.2.1.03.01</t>
  </si>
  <si>
    <t>201.2010101.01.007.5.2.2</t>
  </si>
  <si>
    <t>201.2010101.01.007.5.2.2.01</t>
  </si>
  <si>
    <t>201.2010101.01.007.5.2.2.01.01</t>
  </si>
  <si>
    <t>201.2010101.01.007.5.2.2.06</t>
  </si>
  <si>
    <t>201.2010101.01.007.5.2.2.06.02</t>
  </si>
  <si>
    <t>201.2010101.01.007.5.2.2.15</t>
  </si>
  <si>
    <t>201.2010101.01.007.5.2.2.15.01</t>
  </si>
  <si>
    <t>201.2010101.01.018</t>
  </si>
  <si>
    <t>201.2010101.01.018.5.2.2</t>
  </si>
  <si>
    <t>201.2010101.01.018.5.2.2.01</t>
  </si>
  <si>
    <t>201.2010101.01.018.5.2.2.01.01</t>
  </si>
  <si>
    <t>201.2010101.01.018.5.2.2.06</t>
  </si>
  <si>
    <t>201.2010101.01.018.5.2.2.06.02</t>
  </si>
  <si>
    <t>201.2010101.01.018.5.2.2.15</t>
  </si>
  <si>
    <t>201.2010101.01.018.5.2.2.15.02</t>
  </si>
  <si>
    <t>201.2010101.01.019</t>
  </si>
  <si>
    <t>201.2010101.01.019.5.2.2</t>
  </si>
  <si>
    <t>201.2010101.01.019.5.2.2.01</t>
  </si>
  <si>
    <t>201.2010101.01.019.5.2.2.01.01</t>
  </si>
  <si>
    <t>201.2010101.01.019.5.2.2.06</t>
  </si>
  <si>
    <t>201.2010101.01.019.5.2.2.06.02</t>
  </si>
  <si>
    <t>201.2010101.01.019.5.2.2.11</t>
  </si>
  <si>
    <t>201.2010101.01.019.5.2.2.11.02</t>
  </si>
  <si>
    <t>201.2010101.01.019.5.2.2.15</t>
  </si>
  <si>
    <t>201.2010101.01.019.5.2.2.15.01</t>
  </si>
  <si>
    <t>201.2010101.02</t>
  </si>
  <si>
    <t xml:space="preserve">Program Peningkatan Sarana dan Prasarana Aparatur </t>
  </si>
  <si>
    <t>201.2010101.02.022</t>
  </si>
  <si>
    <t>201.2010101.02.022.5.2.2</t>
  </si>
  <si>
    <t>201.2010101.02.022.5.2.2.01</t>
  </si>
  <si>
    <t>201.2010101.02.022.5.2.2.01.03</t>
  </si>
  <si>
    <t>201.2010101.02.022.5.2.2.01.05</t>
  </si>
  <si>
    <t>201.2010101.02.022.5.2.2.03</t>
  </si>
  <si>
    <t>201.2010101.02.022.5.2.2.03.14</t>
  </si>
  <si>
    <t>201.2010101.02.022.5.2.2.05</t>
  </si>
  <si>
    <t>201.2010101.02.022.5.2.2.05.03</t>
  </si>
  <si>
    <t xml:space="preserve">Belanja Bahan Bakar Minyak/Gas </t>
  </si>
  <si>
    <t>201.2010101.02.022.5.2.2.25</t>
  </si>
  <si>
    <t>201.2010101.02.022.5.2.2.25.03</t>
  </si>
  <si>
    <t>201.2010101.02.024</t>
  </si>
  <si>
    <t>201.2010101.02.024.5.2.2</t>
  </si>
  <si>
    <t>201.2010101.02.024.5.2.2.05</t>
  </si>
  <si>
    <t>201.2010101.02.024.5.2.2.05.01</t>
  </si>
  <si>
    <t>201.2010101.02.024.5.2.2.05.02</t>
  </si>
  <si>
    <t>201.2010101.02.024.5.2.2.05.03</t>
  </si>
  <si>
    <t>201.2010101.02.024.5.2.2.05.04</t>
  </si>
  <si>
    <t>201.2010101.02.024.5.2.2.05.05</t>
  </si>
  <si>
    <t>201.2010101.02.028</t>
  </si>
  <si>
    <t>201.2010101.02.028.5.2.2</t>
  </si>
  <si>
    <t>201.2010101.02.028.5.2.2.20</t>
  </si>
  <si>
    <t>201.2010101.02.028.5.2.2.20.08</t>
  </si>
  <si>
    <t>201.2010101.02.042</t>
  </si>
  <si>
    <t>201.2010101.02.042.5.2.3</t>
  </si>
  <si>
    <t>201.2010101.02.042.5.2.3.49</t>
  </si>
  <si>
    <t>201.2010101.02.042.5.2.3.49.01</t>
  </si>
  <si>
    <t>201.2010101.05</t>
  </si>
  <si>
    <t>201.2010101.05.006</t>
  </si>
  <si>
    <t>201.2010101.05.006.5.2.1</t>
  </si>
  <si>
    <t>201.2010101.05.006.5.2.1.01</t>
  </si>
  <si>
    <t>201.2010101.05.006.5.2.1.01.01</t>
  </si>
  <si>
    <t>201.2010101.05.006.5.2.1.03</t>
  </si>
  <si>
    <t>201.2010101.05.006.5.2.1.03.01</t>
  </si>
  <si>
    <t>201.2010101.05.006.5.2.2</t>
  </si>
  <si>
    <t>201.2010101.05.006.5.2.2.01</t>
  </si>
  <si>
    <t>201.2010101.05.006.5.2.2.01.01</t>
  </si>
  <si>
    <t>201.2010101.05.006.5.2.2.06</t>
  </si>
  <si>
    <t>201.2010101.05.006.5.2.2.06.02</t>
  </si>
  <si>
    <t>201.2010101.05.006.5.2.2.11</t>
  </si>
  <si>
    <t>201.2010101.05.006.5.2.2.11.02</t>
  </si>
  <si>
    <t>201.2010101.05.006.5.2.2.15</t>
  </si>
  <si>
    <t>201.2010101.05.006.5.2.2.15.02</t>
  </si>
  <si>
    <t>201.2010101.06</t>
  </si>
  <si>
    <t>201.2010101.06.001</t>
  </si>
  <si>
    <t>201.2010101.06.001.5.2.1</t>
  </si>
  <si>
    <t>201.2010101.06.001.5.2.1.01</t>
  </si>
  <si>
    <t>201.2010101.06.001.5.2.1.01.01</t>
  </si>
  <si>
    <t>201.2010101.06.001.5.2.2</t>
  </si>
  <si>
    <t>201.2010101.06.001.5.2.2.01</t>
  </si>
  <si>
    <t>201.2010101.06.001.5.2.2.01.01</t>
  </si>
  <si>
    <t>201.2010101.06.001.5.2.2.06</t>
  </si>
  <si>
    <t>201.2010101.06.001.5.2.2.06.02</t>
  </si>
  <si>
    <t>201.2010101.06.001.5.2.2.06.03</t>
  </si>
  <si>
    <t>201.2010101.06.001.5.2.2.11</t>
  </si>
  <si>
    <t>201.2010101.06.001.5.2.2.11.02</t>
  </si>
  <si>
    <t>201.2010101.06.001.5.2.2.15</t>
  </si>
  <si>
    <t>201.2010101.06.001.5.2.2.15.01</t>
  </si>
  <si>
    <t>201.2010101.06.001.5.2.2.15.02</t>
  </si>
  <si>
    <t>201.2010101.15</t>
  </si>
  <si>
    <t>201.2010101.15.003</t>
  </si>
  <si>
    <t>201.2010101.15.003.5.2.3</t>
  </si>
  <si>
    <t>201.2010101.15.003.5.2.3.29</t>
  </si>
  <si>
    <t>Belanja Modal Peralatan dan Mesin - Pengadaan Komputer</t>
  </si>
  <si>
    <t>201.2010101.15.003.5.2.3.29.02</t>
  </si>
  <si>
    <t>201.2010101.15.003.5.2.3.29.05</t>
  </si>
  <si>
    <t>201.2010101.15.003.5.2.3.29.06</t>
  </si>
  <si>
    <t>Belanja Modal Peralatan dan Mesin - Pengadaan Peralatan Jaringan</t>
  </si>
  <si>
    <t>201.2010101.15.003.5.2.3.31</t>
  </si>
  <si>
    <t>201.2010101.15.003.5.2.3.31.01</t>
  </si>
  <si>
    <t>201.2010101.15.012</t>
  </si>
  <si>
    <t>Pelatihan Teknologi Tepat Guna (TTG) (DBHCHT)</t>
  </si>
  <si>
    <t>201.2010101.15.012.5.2.1</t>
  </si>
  <si>
    <t>201.2010101.15.012.5.2.1.01</t>
  </si>
  <si>
    <t>201.2010101.15.012.5.2.1.01.01</t>
  </si>
  <si>
    <t>201.2010101.15.012.5.2.1.01.02</t>
  </si>
  <si>
    <t>201.2010101.15.012.5.2.2</t>
  </si>
  <si>
    <t>201.2010101.15.012.5.2.2.01</t>
  </si>
  <si>
    <t>201.2010101.15.012.5.2.2.01.01</t>
  </si>
  <si>
    <t>201.2010101.15.012.5.2.2.02</t>
  </si>
  <si>
    <t>201.2010101.15.012.5.2.2.02.10</t>
  </si>
  <si>
    <t>201.2010101.15.012.5.2.2.03</t>
  </si>
  <si>
    <t>201.2010101.15.012.5.2.2.03.17</t>
  </si>
  <si>
    <t>201.2010101.15.012.5.2.2.06</t>
  </si>
  <si>
    <t>201.2010101.15.012.5.2.2.06.01</t>
  </si>
  <si>
    <t>201.2010101.15.012.5.2.2.06.02</t>
  </si>
  <si>
    <t>201.2010101.15.012.5.2.2.11</t>
  </si>
  <si>
    <t>201.2010101.15.012.5.2.2.11.01</t>
  </si>
  <si>
    <t>201.2010101.15.012.5.2.2.15</t>
  </si>
  <si>
    <t>201.2010101.15.012.5.2.2.15.01</t>
  </si>
  <si>
    <t>201.2010101.15.012.5.2.2.27</t>
  </si>
  <si>
    <t>201.2010101.15.012.5.2.2.27.01</t>
  </si>
  <si>
    <t>201.2010101.15.014</t>
  </si>
  <si>
    <t>201.2010101.15.014.5.2.3</t>
  </si>
  <si>
    <t>201.2010101.15.014.5.2.3.49</t>
  </si>
  <si>
    <t>201.2010101.15.014.5.2.3.49.01</t>
  </si>
  <si>
    <t>201.2010101.15.017</t>
  </si>
  <si>
    <t>201.2010101.15.017.5.2.1</t>
  </si>
  <si>
    <t>201.2010101.15.017.5.2.1.01</t>
  </si>
  <si>
    <t>201.2010101.15.017.5.2.1.01.01</t>
  </si>
  <si>
    <t>201.2010101.15.017.5.2.1.01.02</t>
  </si>
  <si>
    <t>201.2010101.15.017.5.2.2</t>
  </si>
  <si>
    <t>201.2010101.15.017.5.2.2.01</t>
  </si>
  <si>
    <t>201.2010101.15.017.5.2.2.01.01</t>
  </si>
  <si>
    <t>201.2010101.15.017.5.2.2.02</t>
  </si>
  <si>
    <t>201.2010101.15.017.5.2.2.02.01</t>
  </si>
  <si>
    <t>Belanja bahan baku bangunan</t>
  </si>
  <si>
    <t>201.2010101.15.017.5.2.2.03</t>
  </si>
  <si>
    <t>201.2010101.15.017.5.2.2.03.17</t>
  </si>
  <si>
    <t>201.2010101.15.017.5.2.2.06</t>
  </si>
  <si>
    <t>201.2010101.15.017.5.2.2.06.02</t>
  </si>
  <si>
    <t>201.2010101.15.017.5.2.2.11</t>
  </si>
  <si>
    <t>201.2010101.15.017.5.2.2.11.01</t>
  </si>
  <si>
    <t>201.2010101.15.017.5.2.2.15</t>
  </si>
  <si>
    <t>201.2010101.15.017.5.2.2.15.01</t>
  </si>
  <si>
    <t>201.2010101.15.017.5.2.2.15.02</t>
  </si>
  <si>
    <t>201.2010101.15.017.5.2.2.27</t>
  </si>
  <si>
    <t>201.2010101.15.017.5.2.2.27.01</t>
  </si>
  <si>
    <t>201.2010101.16</t>
  </si>
  <si>
    <t>201.2010101.16.008</t>
  </si>
  <si>
    <t>201.2010101.16.008.5.2.1</t>
  </si>
  <si>
    <t>201.2010101.16.008.5.2.1.01</t>
  </si>
  <si>
    <t>201.2010101.16.008.5.2.1.01.01</t>
  </si>
  <si>
    <t>201.2010101.16.008.5.2.2</t>
  </si>
  <si>
    <t>201.2010101.16.008.5.2.2.01</t>
  </si>
  <si>
    <t>201.2010101.16.008.5.2.2.01.01</t>
  </si>
  <si>
    <t>201.2010101.16.008.5.2.2.03</t>
  </si>
  <si>
    <t>201.2010101.16.008.5.2.2.03.17</t>
  </si>
  <si>
    <t>201.2010101.16.008.5.2.2.06</t>
  </si>
  <si>
    <t>201.2010101.16.008.5.2.2.06.02</t>
  </si>
  <si>
    <t>201.2010101.16.008.5.2.2.11</t>
  </si>
  <si>
    <t>201.2010101.16.008.5.2.2.11.02</t>
  </si>
  <si>
    <t>201.2010101.16.008.5.2.2.15</t>
  </si>
  <si>
    <t>201.2010101.16.008.5.2.2.15.01</t>
  </si>
  <si>
    <t>201.2010101.16.008.5.2.2.15.02</t>
  </si>
  <si>
    <t>201.2010101.16.008.5.2.2.27</t>
  </si>
  <si>
    <t>201.2010101.16.008.5.2.2.27.01</t>
  </si>
  <si>
    <t>201.2010101.16.013</t>
  </si>
  <si>
    <t>201.2010101.16.013.5.2.1</t>
  </si>
  <si>
    <t>201.2010101.16.013.5.2.1.01</t>
  </si>
  <si>
    <t>201.2010101.16.013.5.2.1.01.01</t>
  </si>
  <si>
    <t>201.2010101.16.013.5.2.2</t>
  </si>
  <si>
    <t>201.2010101.16.013.5.2.2.01</t>
  </si>
  <si>
    <t>201.2010101.16.013.5.2.2.01.01</t>
  </si>
  <si>
    <t>201.2010101.16.013.5.2.2.03</t>
  </si>
  <si>
    <t>201.2010101.16.013.5.2.2.03.17</t>
  </si>
  <si>
    <t>201.2010101.16.013.5.2.2.06</t>
  </si>
  <si>
    <t>201.2010101.16.013.5.2.2.06.01</t>
  </si>
  <si>
    <t>201.2010101.16.013.5.2.2.06.02</t>
  </si>
  <si>
    <t>201.2010101.16.013.5.2.2.11</t>
  </si>
  <si>
    <t>201.2010101.16.013.5.2.2.11.02</t>
  </si>
  <si>
    <t>201.2010101.16.013.5.2.2.15</t>
  </si>
  <si>
    <t>201.2010101.16.013.5.2.2.15.01</t>
  </si>
  <si>
    <t>201.2010101.16.013.5.2.2.15.02</t>
  </si>
  <si>
    <t>201.2010101.16.013.5.2.2.27</t>
  </si>
  <si>
    <t>201.2010101.16.013.5.2.2.27.01</t>
  </si>
  <si>
    <t>201.2010101.16.017</t>
  </si>
  <si>
    <t>201.2010101.16.017.5.2.1</t>
  </si>
  <si>
    <t>201.2010101.16.017.5.2.1.01</t>
  </si>
  <si>
    <t>201.2010101.16.017.5.2.1.01.01</t>
  </si>
  <si>
    <t>201.2010101.16.017.5.2.1.01.02</t>
  </si>
  <si>
    <t>201.2010101.16.017.5.2.2</t>
  </si>
  <si>
    <t>201.2010101.16.017.5.2.2.01</t>
  </si>
  <si>
    <t>201.2010101.16.017.5.2.2.01.01</t>
  </si>
  <si>
    <t>201.2010101.16.017.5.2.2.02</t>
  </si>
  <si>
    <t>201.2010101.16.017.5.2.2.02.10</t>
  </si>
  <si>
    <t>201.2010101.16.017.5.2.2.03</t>
  </si>
  <si>
    <t>201.2010101.16.017.5.2.2.03.17</t>
  </si>
  <si>
    <t>201.2010101.16.017.5.2.2.06</t>
  </si>
  <si>
    <t>201.2010101.16.017.5.2.2.06.01</t>
  </si>
  <si>
    <t>201.2010101.16.017.5.2.2.06.02</t>
  </si>
  <si>
    <t>201.2010101.16.017.5.2.2.11</t>
  </si>
  <si>
    <t>201.2010101.16.017.5.2.2.11.02</t>
  </si>
  <si>
    <t>201.2010101.16.017.5.2.2.15</t>
  </si>
  <si>
    <t>201.2010101.16.017.5.2.2.15.01</t>
  </si>
  <si>
    <t>201.2010101.16.017.5.2.2.15.02</t>
  </si>
  <si>
    <t>201.2010101.16.017.5.2.2.27</t>
  </si>
  <si>
    <t>201.2010101.16.017.5.2.2.27.01</t>
  </si>
  <si>
    <t>201.2010101.16.018</t>
  </si>
  <si>
    <t>201.2010101.16.018.5.2.1</t>
  </si>
  <si>
    <t>201.2010101.16.018.5.2.1.01</t>
  </si>
  <si>
    <t>201.2010101.16.018.5.2.1.01.01</t>
  </si>
  <si>
    <t>201.2010101.16.018.5.2.1.01.02</t>
  </si>
  <si>
    <t>201.2010101.16.018.5.2.2</t>
  </si>
  <si>
    <t>201.2010101.16.018.5.2.2.01</t>
  </si>
  <si>
    <t>201.2010101.16.018.5.2.2.01.01</t>
  </si>
  <si>
    <t>201.2010101.16.018.5.2.2.02</t>
  </si>
  <si>
    <t>201.2010101.16.018.5.2.2.02.10</t>
  </si>
  <si>
    <t>201.2010101.16.018.5.2.2.03</t>
  </si>
  <si>
    <t>201.2010101.16.018.5.2.2.03.13</t>
  </si>
  <si>
    <t>201.2010101.16.018.5.2.2.03.17</t>
  </si>
  <si>
    <t>201.2010101.16.018.5.2.2.06</t>
  </si>
  <si>
    <t>201.2010101.16.018.5.2.2.06.01</t>
  </si>
  <si>
    <t>201.2010101.16.018.5.2.2.06.02</t>
  </si>
  <si>
    <t>201.2010101.16.018.5.2.2.11</t>
  </si>
  <si>
    <t>201.2010101.16.018.5.2.2.11.01</t>
  </si>
  <si>
    <t>201.2010101.16.018.5.2.2.15</t>
  </si>
  <si>
    <t>201.2010101.16.018.5.2.2.15.01</t>
  </si>
  <si>
    <t>201.2010101.16.018.5.2.2.15.02</t>
  </si>
  <si>
    <t>201.2010101.16.018.5.2.2.27</t>
  </si>
  <si>
    <t>201.2010101.16.018.5.2.2.27.01</t>
  </si>
  <si>
    <t>201.2010101.16.020</t>
  </si>
  <si>
    <t>201.2010101.16.020.5.2.1</t>
  </si>
  <si>
    <t>201.2010101.16.020.5.2.1.01</t>
  </si>
  <si>
    <t>201.2010101.16.020.5.2.1.01.01</t>
  </si>
  <si>
    <t>201.2010101.16.020.5.2.1.02</t>
  </si>
  <si>
    <t>201.2010101.16.020.5.2.1.02.02</t>
  </si>
  <si>
    <t>Honorarium Pegawai Honorer/tidak tetap (Non PNS)</t>
  </si>
  <si>
    <t>201.2010101.16.020.5.2.2</t>
  </si>
  <si>
    <t>201.2010101.16.020.5.2.2.01</t>
  </si>
  <si>
    <t>201.2010101.16.020.5.2.2.01.01</t>
  </si>
  <si>
    <t>201.2010101.16.020.5.2.2.03</t>
  </si>
  <si>
    <t>201.2010101.16.020.5.2.2.03.13</t>
  </si>
  <si>
    <t>201.2010101.16.020.5.2.2.06</t>
  </si>
  <si>
    <t>201.2010101.16.020.5.2.2.06.01</t>
  </si>
  <si>
    <t>201.2010101.16.020.5.2.2.06.02</t>
  </si>
  <si>
    <t>201.2010101.16.020.5.2.2.07</t>
  </si>
  <si>
    <t>201.2010101.16.020.5.2.2.07.02</t>
  </si>
  <si>
    <t>201.2010101.16.020.5.2.2.10</t>
  </si>
  <si>
    <t>201.2010101.16.020.5.2.2.10.01</t>
  </si>
  <si>
    <t>201.2010101.16.020.5.2.2.11</t>
  </si>
  <si>
    <t>201.2010101.16.020.5.2.2.11.01</t>
  </si>
  <si>
    <t>201.2010101.16.020.5.2.2.15</t>
  </si>
  <si>
    <t>201.2010101.16.020.5.2.2.15.01</t>
  </si>
  <si>
    <t>201.2010101.16.020.5.2.2.15.02</t>
  </si>
  <si>
    <t>201.2010101.16.022</t>
  </si>
  <si>
    <t>201.2010101.16.022.5.2.1</t>
  </si>
  <si>
    <t>201.2010101.16.022.5.2.1.01</t>
  </si>
  <si>
    <t>201.2010101.16.022.5.2.1.01.01</t>
  </si>
  <si>
    <t>201.2010101.16.022.5.2.1.02</t>
  </si>
  <si>
    <t>201.2010101.16.022.5.2.1.02.01</t>
  </si>
  <si>
    <t>201.2010101.16.022.5.2.2</t>
  </si>
  <si>
    <t>201.2010101.16.022.5.2.2.01</t>
  </si>
  <si>
    <t>201.2010101.16.022.5.2.2.01.01</t>
  </si>
  <si>
    <t>201.2010101.16.022.5.2.2.03</t>
  </si>
  <si>
    <t>201.2010101.16.022.5.2.2.03.08</t>
  </si>
  <si>
    <t>201.2010101.16.022.5.2.2.03.17</t>
  </si>
  <si>
    <t>201.2010101.16.022.5.2.2.06</t>
  </si>
  <si>
    <t>201.2010101.16.022.5.2.2.06.02</t>
  </si>
  <si>
    <t>201.2010101.16.022.5.2.2.11</t>
  </si>
  <si>
    <t>201.2010101.16.022.5.2.2.11.01</t>
  </si>
  <si>
    <t>201.2010101.16.022.5.2.2.15</t>
  </si>
  <si>
    <t>201.2010101.16.022.5.2.2.15.01</t>
  </si>
  <si>
    <t>201.2010101.16.022.5.2.2.15.02</t>
  </si>
  <si>
    <t>201.2010101.16.022.5.2.2.27</t>
  </si>
  <si>
    <t>201.2010101.16.022.5.2.2.27.01</t>
  </si>
  <si>
    <t>201.2010101.17</t>
  </si>
  <si>
    <t>201.2010101.17.009</t>
  </si>
  <si>
    <t>201.2010101.17.009.5.2.1</t>
  </si>
  <si>
    <t>201.2010101.17.009.5.2.1.01</t>
  </si>
  <si>
    <t>201.2010101.17.009.5.2.1.01.01</t>
  </si>
  <si>
    <t>201.2010101.17.009.5.2.2</t>
  </si>
  <si>
    <t>201.2010101.17.009.5.2.2.01</t>
  </si>
  <si>
    <t>201.2010101.17.009.5.2.2.01.01</t>
  </si>
  <si>
    <t>201.2010101.17.009.5.2.2.06</t>
  </si>
  <si>
    <t>201.2010101.17.009.5.2.2.06.02</t>
  </si>
  <si>
    <t>201.2010101.17.009.5.2.2.11</t>
  </si>
  <si>
    <t>201.2010101.17.009.5.2.2.11.02</t>
  </si>
  <si>
    <t>201.2010101.17.009.5.2.2.15</t>
  </si>
  <si>
    <t>201.2010101.17.009.5.2.2.15.01</t>
  </si>
  <si>
    <t>201.2010101.17.009.5.2.2.15.02</t>
  </si>
  <si>
    <t>201.2010101.17.010</t>
  </si>
  <si>
    <t>201.2010101.17.010.5.2.1</t>
  </si>
  <si>
    <t>201.2010101.17.010.5.2.1.01</t>
  </si>
  <si>
    <t>201.2010101.17.010.5.2.1.01.01</t>
  </si>
  <si>
    <t>201.2010101.17.010.5.2.1.02</t>
  </si>
  <si>
    <t>201.2010101.17.010.5.2.1.02.01</t>
  </si>
  <si>
    <t>201.2010101.17.010.5.2.2</t>
  </si>
  <si>
    <t>201.2010101.17.010.5.2.2.01</t>
  </si>
  <si>
    <t>201.2010101.17.010.5.2.2.01.01</t>
  </si>
  <si>
    <t>201.2010101.17.010.5.2.2.06</t>
  </si>
  <si>
    <t>201.2010101.17.010.5.2.2.06.02</t>
  </si>
  <si>
    <t>201.2010101.17.010.5.2.2.11</t>
  </si>
  <si>
    <t>201.2010101.17.010.5.2.2.11.02</t>
  </si>
  <si>
    <t>201.2010101.17.010.5.2.2.13</t>
  </si>
  <si>
    <t>Belanja Pakaian Kerja</t>
  </si>
  <si>
    <t>201.2010101.17.010.5.2.2.13.03</t>
  </si>
  <si>
    <t>Belanja Kelengkapan Pakaian Kerja / Atribut Lainnya</t>
  </si>
  <si>
    <t>201.2010101.17.010.5.2.2.15</t>
  </si>
  <si>
    <t>201.2010101.17.010.5.2.2.15.01</t>
  </si>
  <si>
    <t>201.2010101.17.010.5.2.2.15.02</t>
  </si>
  <si>
    <t>201.2010101.17.013</t>
  </si>
  <si>
    <t>Lembaga Kerjasama Tripartite</t>
  </si>
  <si>
    <t>201.2010101.17.013.5.2.1</t>
  </si>
  <si>
    <t>201.2010101.17.013.5.2.1.01</t>
  </si>
  <si>
    <t>201.2010101.17.013.5.2.1.01.01</t>
  </si>
  <si>
    <t>201.2010101.17.013.5.2.1.02</t>
  </si>
  <si>
    <t>201.2010101.17.013.5.2.1.02.01</t>
  </si>
  <si>
    <t>201.2010101.17.013.5.2.2</t>
  </si>
  <si>
    <t>201.2010101.17.013.5.2.2.01</t>
  </si>
  <si>
    <t>201.2010101.17.013.5.2.2.01.01</t>
  </si>
  <si>
    <t>201.2010101.17.013.5.2.2.06</t>
  </si>
  <si>
    <t>201.2010101.17.013.5.2.2.06.02</t>
  </si>
  <si>
    <t>201.2010101.17.013.5.2.2.11</t>
  </si>
  <si>
    <t>201.2010101.17.013.5.2.2.11.02</t>
  </si>
  <si>
    <t>201.2010101.17.013.5.2.2.15</t>
  </si>
  <si>
    <t>201.2010101.17.013.5.2.2.15.01</t>
  </si>
  <si>
    <t>201.2010101.17.013.5.2.2.15.02</t>
  </si>
  <si>
    <t>201.2010101.17.015</t>
  </si>
  <si>
    <t>201.2010101.17.015.5.2.1</t>
  </si>
  <si>
    <t>201.2010101.17.015.5.2.1.01</t>
  </si>
  <si>
    <t>201.2010101.17.015.5.2.1.01.01</t>
  </si>
  <si>
    <t>201.2010101.17.015.5.2.1.02</t>
  </si>
  <si>
    <t>201.2010101.17.015.5.2.1.02.01</t>
  </si>
  <si>
    <t>201.2010101.17.015.5.2.2</t>
  </si>
  <si>
    <t>201.2010101.17.015.5.2.2.01</t>
  </si>
  <si>
    <t>201.2010101.17.015.5.2.2.01.01</t>
  </si>
  <si>
    <t>201.2010101.17.015.5.2.2.03</t>
  </si>
  <si>
    <t>201.2010101.17.015.5.2.2.03.17</t>
  </si>
  <si>
    <t>201.2010101.17.015.5.2.2.06</t>
  </si>
  <si>
    <t>201.2010101.17.015.5.2.2.06.02</t>
  </si>
  <si>
    <t>201.2010101.17.015.5.2.2.11</t>
  </si>
  <si>
    <t>201.2010101.17.015.5.2.2.11.02</t>
  </si>
  <si>
    <t>201.2010101.17.015.5.2.2.15</t>
  </si>
  <si>
    <t>201.2010101.17.015.5.2.2.15.01</t>
  </si>
  <si>
    <t>201.2010101.17.017</t>
  </si>
  <si>
    <t>Sosialisasi, dan Monitoring Pelaksanaan UMK</t>
  </si>
  <si>
    <t>201.2010101.17.017.5.2.1</t>
  </si>
  <si>
    <t>201.2010101.17.017.5.2.1.01</t>
  </si>
  <si>
    <t>201.2010101.17.017.5.2.1.01.01</t>
  </si>
  <si>
    <t>201.2010101.17.017.5.2.2</t>
  </si>
  <si>
    <t>201.2010101.17.017.5.2.2.01</t>
  </si>
  <si>
    <t>201.2010101.17.017.5.2.2.01.01</t>
  </si>
  <si>
    <t>201.2010101.17.017.5.2.2.03</t>
  </si>
  <si>
    <t>201.2010101.17.017.5.2.2.03.17</t>
  </si>
  <si>
    <t>201.2010101.17.017.5.2.2.06</t>
  </si>
  <si>
    <t>201.2010101.17.017.5.2.2.06.02</t>
  </si>
  <si>
    <t>201.2010101.17.017.5.2.2.11</t>
  </si>
  <si>
    <t>201.2010101.17.017.5.2.2.11.02</t>
  </si>
  <si>
    <t>201.2010101.17.017.5.2.2.15</t>
  </si>
  <si>
    <t>201.2010101.17.017.5.2.2.15.01</t>
  </si>
  <si>
    <t>201.2010101.17.017.5.2.2.15.02</t>
  </si>
  <si>
    <t>201.2010101.17.019</t>
  </si>
  <si>
    <t>201.2010101.17.019.5.2.1</t>
  </si>
  <si>
    <t>201.2010101.17.019.5.2.1.01</t>
  </si>
  <si>
    <t>201.2010101.17.019.5.2.1.01.01</t>
  </si>
  <si>
    <t>201.2010101.17.019.5.2.2</t>
  </si>
  <si>
    <t>201.2010101.17.019.5.2.2.01</t>
  </si>
  <si>
    <t>201.2010101.17.019.5.2.2.01.01</t>
  </si>
  <si>
    <t>201.2010101.17.019.5.2.2.01.11</t>
  </si>
  <si>
    <t>Belanja Bahan Kenang-kenangan / Cinderamata</t>
  </si>
  <si>
    <t>201.2010101.17.019.5.2.2.03</t>
  </si>
  <si>
    <t>201.2010101.17.019.5.2.2.03.13</t>
  </si>
  <si>
    <t>201.2010101.17.019.5.2.2.06</t>
  </si>
  <si>
    <t>201.2010101.17.019.5.2.2.06.02</t>
  </si>
  <si>
    <t>201.2010101.17.019.5.2.2.11</t>
  </si>
  <si>
    <t>201.2010101.17.019.5.2.2.11.02</t>
  </si>
  <si>
    <t>201.2010101.17.019.5.2.2.15</t>
  </si>
  <si>
    <t>201.2010101.17.019.5.2.2.15.01</t>
  </si>
  <si>
    <t>201.2010101.17.019.5.2.2.15.02</t>
  </si>
  <si>
    <t>201.2010101.17.020</t>
  </si>
  <si>
    <t>201.2010101.17.020.5.2.1</t>
  </si>
  <si>
    <t>201.2010101.17.020.5.2.1.01</t>
  </si>
  <si>
    <t>201.2010101.17.020.5.2.1.01.01</t>
  </si>
  <si>
    <t>201.2010101.17.020.5.2.1.02</t>
  </si>
  <si>
    <t>201.2010101.17.020.5.2.1.02.01</t>
  </si>
  <si>
    <t>201.2010101.17.020.5.2.2</t>
  </si>
  <si>
    <t>201.2010101.17.020.5.2.2.01</t>
  </si>
  <si>
    <t>201.2010101.17.020.5.2.2.01.01</t>
  </si>
  <si>
    <t>201.2010101.17.020.5.2.2.03</t>
  </si>
  <si>
    <t>201.2010101.17.020.5.2.2.03.17</t>
  </si>
  <si>
    <t>201.2010101.17.020.5.2.2.06</t>
  </si>
  <si>
    <t>201.2010101.17.020.5.2.2.06.02</t>
  </si>
  <si>
    <t>201.2010101.17.020.5.2.2.11</t>
  </si>
  <si>
    <t>201.2010101.17.020.5.2.2.11.02</t>
  </si>
  <si>
    <t>201.2010101.17.020.5.2.2.15</t>
  </si>
  <si>
    <t>201.2010101.17.020.5.2.2.15.01</t>
  </si>
  <si>
    <t>201.2010101.17.020.5.2.2.15.02</t>
  </si>
  <si>
    <t>211.2010101.16</t>
  </si>
  <si>
    <t>211.2010101.16.013</t>
  </si>
  <si>
    <t>211.2010101.16.013.5.2.1</t>
  </si>
  <si>
    <t>211.2010101.16.013.5.2.1.01</t>
  </si>
  <si>
    <t>211.2010101.16.013.5.2.1.01.01</t>
  </si>
  <si>
    <t>211.2010101.16.013.5.2.2</t>
  </si>
  <si>
    <t>211.2010101.16.013.5.2.2.01</t>
  </si>
  <si>
    <t>211.2010101.16.013.5.2.2.01.01</t>
  </si>
  <si>
    <t>211.2010101.16.013.5.2.2.03</t>
  </si>
  <si>
    <t>211.2010101.16.013.5.2.2.03.08</t>
  </si>
  <si>
    <t>211.2010101.16.013.5.2.2.03.17</t>
  </si>
  <si>
    <t>211.2010101.16.013.5.2.2.03.18</t>
  </si>
  <si>
    <t>Belanja Jasa Pemeriksaan Laboratorium</t>
  </si>
  <si>
    <t>211.2010101.16.013.5.2.2.06</t>
  </si>
  <si>
    <t>211.2010101.16.013.5.2.2.06.02</t>
  </si>
  <si>
    <t>211.2010101.16.013.5.2.2.11</t>
  </si>
  <si>
    <t>211.2010101.16.013.5.2.2.11.02</t>
  </si>
  <si>
    <t>211.2010101.16.013.5.2.2.15</t>
  </si>
  <si>
    <t>211.2010101.16.013.5.2.2.15.01</t>
  </si>
  <si>
    <t>211.2010101.16.013.5.2.2.15.02</t>
  </si>
  <si>
    <t>211.2010101.16.013.5.2.2.27</t>
  </si>
  <si>
    <t>211.2010101.16.013.5.2.2.27.01</t>
  </si>
  <si>
    <t>211.2010101.17</t>
  </si>
  <si>
    <t>211.2010101.17.016</t>
  </si>
  <si>
    <t>211.2010101.17.016.5.2.1</t>
  </si>
  <si>
    <t>211.2010101.17.016.5.2.1.01</t>
  </si>
  <si>
    <t>211.2010101.17.016.5.2.1.01.01</t>
  </si>
  <si>
    <t>211.2010101.17.016.5.2.2</t>
  </si>
  <si>
    <t>211.2010101.17.016.5.2.2.01</t>
  </si>
  <si>
    <t>211.2010101.17.016.5.2.2.01.01</t>
  </si>
  <si>
    <t>211.2010101.17.016.5.2.2.02</t>
  </si>
  <si>
    <t>211.2010101.17.016.5.2.2.02.10</t>
  </si>
  <si>
    <t>211.2010101.17.016.5.2.2.03</t>
  </si>
  <si>
    <t>211.2010101.17.016.5.2.2.03.08</t>
  </si>
  <si>
    <t>211.2010101.17.016.5.2.2.03.13</t>
  </si>
  <si>
    <t>211.2010101.17.016.5.2.2.03.17</t>
  </si>
  <si>
    <t>211.2010101.17.016.5.2.2.06</t>
  </si>
  <si>
    <t>211.2010101.17.016.5.2.2.06.02</t>
  </si>
  <si>
    <t>211.2010101.17.016.5.2.2.11</t>
  </si>
  <si>
    <t>211.2010101.17.016.5.2.2.11.02</t>
  </si>
  <si>
    <t>211.2010101.17.016.5.2.2.15</t>
  </si>
  <si>
    <t>211.2010101.17.016.5.2.2.15.01</t>
  </si>
  <si>
    <t>211.2010101.17.016.5.2.2.15.02</t>
  </si>
  <si>
    <t>211.2010101.17.016.5.2.2.27</t>
  </si>
  <si>
    <t>211.2010101.17.016.5.2.2.27.01</t>
  </si>
  <si>
    <t>307.2010101.19</t>
  </si>
  <si>
    <t>307.2010101.19.003</t>
  </si>
  <si>
    <t>307.2010101.19.003.5.2.1</t>
  </si>
  <si>
    <t>307.2010101.19.003.5.2.1.01</t>
  </si>
  <si>
    <t>307.2010101.19.003.5.2.1.01.01</t>
  </si>
  <si>
    <t>307.2010101.19.003.5.2.1.01.02</t>
  </si>
  <si>
    <t>307.2010101.19.003.5.2.2</t>
  </si>
  <si>
    <t>307.2010101.19.003.5.2.2.01</t>
  </si>
  <si>
    <t>307.2010101.19.003.5.2.2.01.01</t>
  </si>
  <si>
    <t>307.2010101.19.003.5.2.2.02</t>
  </si>
  <si>
    <t>307.2010101.19.003.5.2.2.02.10</t>
  </si>
  <si>
    <t>307.2010101.19.003.5.2.2.03</t>
  </si>
  <si>
    <t>307.2010101.19.003.5.2.2.03.13</t>
  </si>
  <si>
    <t>307.2010101.19.003.5.2.2.03.17</t>
  </si>
  <si>
    <t>307.2010101.19.003.5.2.2.06</t>
  </si>
  <si>
    <t>307.2010101.19.003.5.2.2.06.01</t>
  </si>
  <si>
    <t>307.2010101.19.003.5.2.2.06.02</t>
  </si>
  <si>
    <t>307.2010101.19.003.5.2.2.07</t>
  </si>
  <si>
    <t>307.2010101.19.003.5.2.2.07.02</t>
  </si>
  <si>
    <t>307.2010101.19.003.5.2.2.08</t>
  </si>
  <si>
    <t>307.2010101.19.003.5.2.2.08.01</t>
  </si>
  <si>
    <t>307.2010101.19.003.5.2.2.11</t>
  </si>
  <si>
    <t>307.2010101.19.003.5.2.2.11.02</t>
  </si>
  <si>
    <t>307.2010101.19.003.5.2.2.15</t>
  </si>
  <si>
    <t>307.2010101.19.003.5.2.2.15.01</t>
  </si>
  <si>
    <t>307.2010101.19.003.5.2.2.15.02</t>
  </si>
  <si>
    <t>307.2010101.19.003.5.2.2.21</t>
  </si>
  <si>
    <t>307.2010101.19.003.5.2.2.21.04</t>
  </si>
  <si>
    <t>307.2010101.19.003.5.2.2.27</t>
  </si>
  <si>
    <t>307.2010101.19.003.5.2.2.27.01</t>
  </si>
  <si>
    <t>307.2010101.19.004</t>
  </si>
  <si>
    <t>307.2010101.19.004.5.2.1</t>
  </si>
  <si>
    <t>307.2010101.19.004.5.2.1.01</t>
  </si>
  <si>
    <t>307.2010101.19.004.5.2.1.01.01</t>
  </si>
  <si>
    <t>307.2010101.19.004.5.2.1.01.02</t>
  </si>
  <si>
    <t>307.2010101.19.004.5.2.2</t>
  </si>
  <si>
    <t>307.2010101.19.004.5.2.2.01</t>
  </si>
  <si>
    <t>307.2010101.19.004.5.2.2.01.01</t>
  </si>
  <si>
    <t>307.2010101.19.004.5.2.2.02</t>
  </si>
  <si>
    <t>307.2010101.19.004.5.2.2.02.09</t>
  </si>
  <si>
    <t>307.2010101.19.004.5.2.2.02.10</t>
  </si>
  <si>
    <t>307.2010101.19.004.5.2.2.03</t>
  </si>
  <si>
    <t>307.2010101.19.004.5.2.2.03.13</t>
  </si>
  <si>
    <t>307.2010101.19.004.5.2.2.03.17</t>
  </si>
  <si>
    <t>307.2010101.19.004.5.2.2.06</t>
  </si>
  <si>
    <t>307.2010101.19.004.5.2.2.06.02</t>
  </si>
  <si>
    <t>307.2010101.19.004.5.2.2.07</t>
  </si>
  <si>
    <t>307.2010101.19.004.5.2.2.07.02</t>
  </si>
  <si>
    <t>307.2010101.19.004.5.2.2.08</t>
  </si>
  <si>
    <t>307.2010101.19.004.5.2.2.08.01</t>
  </si>
  <si>
    <t>307.2010101.19.004.5.2.2.11</t>
  </si>
  <si>
    <t>307.2010101.19.004.5.2.2.11.02</t>
  </si>
  <si>
    <t>307.2010101.19.004.5.2.2.15</t>
  </si>
  <si>
    <t>307.2010101.19.004.5.2.2.15.01</t>
  </si>
  <si>
    <t>307.2010101.19.004.5.2.2.15.02</t>
  </si>
  <si>
    <t>307.2010101.19.004.5.2.2.27</t>
  </si>
  <si>
    <t>307.2010101.19.004.5.2.2.27.01</t>
  </si>
  <si>
    <t>307.2010101.19.005</t>
  </si>
  <si>
    <t>307.2010101.19.005.5.2.1</t>
  </si>
  <si>
    <t>307.2010101.19.005.5.2.1.01</t>
  </si>
  <si>
    <t>307.2010101.19.005.5.2.1.01.01</t>
  </si>
  <si>
    <t>307.2010101.19.005.5.2.1.01.02</t>
  </si>
  <si>
    <t>307.2010101.19.005.5.2.2</t>
  </si>
  <si>
    <t>307.2010101.19.005.5.2.2.01</t>
  </si>
  <si>
    <t>307.2010101.19.005.5.2.2.01.01</t>
  </si>
  <si>
    <t>307.2010101.19.005.5.2.2.02</t>
  </si>
  <si>
    <t>307.2010101.19.005.5.2.2.02.10</t>
  </si>
  <si>
    <t>307.2010101.19.005.5.2.2.03</t>
  </si>
  <si>
    <t>307.2010101.19.005.5.2.2.03.13</t>
  </si>
  <si>
    <t>307.2010101.19.005.5.2.2.03.15</t>
  </si>
  <si>
    <t>307.2010101.19.005.5.2.2.03.17</t>
  </si>
  <si>
    <t>307.2010101.19.005.5.2.2.06</t>
  </si>
  <si>
    <t>307.2010101.19.005.5.2.2.06.01</t>
  </si>
  <si>
    <t>307.2010101.19.005.5.2.2.06.02</t>
  </si>
  <si>
    <t>307.2010101.19.005.5.2.2.06.03</t>
  </si>
  <si>
    <t>307.2010101.19.005.5.2.2.07</t>
  </si>
  <si>
    <t>307.2010101.19.005.5.2.2.07.02</t>
  </si>
  <si>
    <t>307.2010101.19.005.5.2.2.11</t>
  </si>
  <si>
    <t>307.2010101.19.005.5.2.2.11.02</t>
  </si>
  <si>
    <t>307.2010101.19.005.5.2.2.15</t>
  </si>
  <si>
    <t>307.2010101.19.005.5.2.2.15.01</t>
  </si>
  <si>
    <t>307.2010101.19.005.5.2.2.15.02</t>
  </si>
  <si>
    <t>307.2010101.19.005.5.2.2.27</t>
  </si>
  <si>
    <t>307.2010101.19.005.5.2.2.27.01</t>
  </si>
  <si>
    <t>307.2010101.19.005.5.2.3</t>
  </si>
  <si>
    <t>307.2010101.19.005.5.2.3.27</t>
  </si>
  <si>
    <t>Belanja Modal Peralatan dan Mesin - Pengadaan Alat Kantor</t>
  </si>
  <si>
    <t>307.2010101.19.005.5.2.3.27.05</t>
  </si>
  <si>
    <t>Belanja Modal Peralatan dan Mesin - Pengadaan Alat Kantor Lainnya</t>
  </si>
  <si>
    <t>308.2010101.15</t>
  </si>
  <si>
    <t>308.2010101.15.002</t>
  </si>
  <si>
    <t>308.2010101.15.002.5.2.2</t>
  </si>
  <si>
    <t>308.2010101.15.002.5.2.2.01</t>
  </si>
  <si>
    <t>308.2010101.15.002.5.2.2.01.01</t>
  </si>
  <si>
    <t>308.2010101.15.002.5.2.2.01.04</t>
  </si>
  <si>
    <t>308.2010101.15.002.5.2.2.06</t>
  </si>
  <si>
    <t>308.2010101.15.002.5.2.2.06.02</t>
  </si>
  <si>
    <t>308.2010101.15.002.5.2.2.08</t>
  </si>
  <si>
    <t>308.2010101.15.002.5.2.2.08.01</t>
  </si>
  <si>
    <t>308.2010101.15.002.5.2.2.15</t>
  </si>
  <si>
    <t>308.2010101.15.002.5.2.2.15.01</t>
  </si>
  <si>
    <t>308.2010101.15.002.5.2.2.15.02</t>
  </si>
  <si>
    <t>308.2010101.15.005</t>
  </si>
  <si>
    <t>308.2010101.15.005.5.2.1</t>
  </si>
  <si>
    <t>308.2010101.15.005.5.2.1.01</t>
  </si>
  <si>
    <t>308.2010101.15.005.5.2.1.01.01</t>
  </si>
  <si>
    <t>308.2010101.15.005.5.2.1.02</t>
  </si>
  <si>
    <t>308.2010101.15.005.5.2.1.02.02</t>
  </si>
  <si>
    <t>308.2010101.15.005.5.2.2</t>
  </si>
  <si>
    <t>308.2010101.15.005.5.2.2.01</t>
  </si>
  <si>
    <t>308.2010101.15.005.5.2.2.01.01</t>
  </si>
  <si>
    <t>308.2010101.15.005.5.2.2.01.04</t>
  </si>
  <si>
    <t>308.2010101.15.005.5.2.2.03</t>
  </si>
  <si>
    <t>308.2010101.15.005.5.2.2.03.13</t>
  </si>
  <si>
    <t>308.2010101.15.005.5.2.2.03.14</t>
  </si>
  <si>
    <t>308.2010101.15.005.5.2.2.03.17</t>
  </si>
  <si>
    <t>308.2010101.15.005.5.2.2.06</t>
  </si>
  <si>
    <t>308.2010101.15.005.5.2.2.06.01</t>
  </si>
  <si>
    <t>308.2010101.15.005.5.2.2.06.02</t>
  </si>
  <si>
    <t>308.2010101.15.005.5.2.2.08</t>
  </si>
  <si>
    <t>308.2010101.15.005.5.2.2.08.01</t>
  </si>
  <si>
    <t>308.2010101.15.005.5.2.2.11</t>
  </si>
  <si>
    <t>308.2010101.15.005.5.2.2.11.02</t>
  </si>
  <si>
    <t>308.2010101.15.005.5.2.2.15</t>
  </si>
  <si>
    <t>308.2010101.15.005.5.2.2.15.01</t>
  </si>
  <si>
    <t>308.2010101.15.005.5.2.2.15.02</t>
  </si>
  <si>
    <t>403.2010101.21</t>
  </si>
  <si>
    <t>403.2010101.21.018</t>
  </si>
  <si>
    <t>Penyusunan Renstra SKPD</t>
  </si>
  <si>
    <t>403.2010101.21.018.5.2.1</t>
  </si>
  <si>
    <t>403.2010101.21.018.5.2.1.01</t>
  </si>
  <si>
    <t>403.2010101.21.018.5.2.1.01.01</t>
  </si>
  <si>
    <t>403.2010101.21.018.5.2.2</t>
  </si>
  <si>
    <t>403.2010101.21.018.5.2.2.01</t>
  </si>
  <si>
    <t>403.2010101.21.018.5.2.2.01.01</t>
  </si>
  <si>
    <t>403.2010101.21.018.5.2.2.06</t>
  </si>
  <si>
    <t>403.2010101.21.018.5.2.2.06.02</t>
  </si>
  <si>
    <t>403.2010101.21.018.5.2.2.11</t>
  </si>
  <si>
    <t>403.2010101.21.018.5.2.2.11.02</t>
  </si>
  <si>
    <t>403.2010101.21.018.5.2.2.15</t>
  </si>
  <si>
    <t>403.2010101.21.018.5.2.2.15.01</t>
  </si>
  <si>
    <t>403.2010101.21.019</t>
  </si>
  <si>
    <t>403.2010101.21.019.5.2.1</t>
  </si>
  <si>
    <t>403.2010101.21.019.5.2.1.01</t>
  </si>
  <si>
    <t>403.2010101.21.019.5.2.1.01.01</t>
  </si>
  <si>
    <t>403.2010101.21.019.5.2.2</t>
  </si>
  <si>
    <t>403.2010101.21.019.5.2.2.01</t>
  </si>
  <si>
    <t>403.2010101.21.019.5.2.2.01.01</t>
  </si>
  <si>
    <t>403.2010101.21.019.5.2.2.06</t>
  </si>
  <si>
    <t>403.2010101.21.019.5.2.2.06.01</t>
  </si>
  <si>
    <t>403.2010101.21.019.5.2.2.06.02</t>
  </si>
  <si>
    <t>403.2010101.21.019.5.2.2.11</t>
  </si>
  <si>
    <t>403.2010101.21.019.5.2.2.11.02</t>
  </si>
  <si>
    <t>403.2010101.21.019.5.2.2.15</t>
  </si>
  <si>
    <t>403.2010101.21.019.5.2.2.15.01</t>
  </si>
  <si>
    <t>SISA BELUM DIREALISASI</t>
  </si>
  <si>
    <t xml:space="preserve"> %</t>
  </si>
  <si>
    <t>Tambah / ( Kurang )</t>
  </si>
  <si>
    <t>Anggaran Tahun 2018 yang ada di Tahun 2019</t>
  </si>
  <si>
    <t>8 =( 7/5x100)</t>
  </si>
  <si>
    <t>9 = 5 - 7</t>
  </si>
  <si>
    <t>10 =( 9/5x100)</t>
  </si>
  <si>
    <t>DINAS PRINDUSTRIAN DAN TENAGA KERJA</t>
  </si>
  <si>
    <t>KABUPATEN MAGELANG</t>
  </si>
  <si>
    <t>JUMLAH BELANJA LANGSUNG</t>
  </si>
  <si>
    <t xml:space="preserve">Di Tahun 2019 ada kegiatan baru </t>
  </si>
  <si>
    <t>Sosialisasi dan Monitoring Pelaksanaan UMK</t>
  </si>
  <si>
    <t>Kegiatan Ditahun 2018 ada dan di Tahun 2019 Tidak Ada</t>
  </si>
  <si>
    <t>Pemeliharaan rutin / berkala perlengkapan gedung kantor</t>
  </si>
  <si>
    <t>Pendidikan dan pelatihan keterampilan bagi pencari kerja  ( DBHCHT )</t>
  </si>
  <si>
    <t>Updating Data Peindustrian dan Ketenagakerjaan</t>
  </si>
  <si>
    <t>38 Kegiatan</t>
  </si>
  <si>
    <t>Tahun 2019</t>
  </si>
  <si>
    <t>Tahun 2018</t>
  </si>
  <si>
    <t>Penambahan/( - )</t>
  </si>
  <si>
    <t>Pagu Anggaran</t>
  </si>
  <si>
    <t>Untuk belanja   langsung   yang   terdiri  dari   :</t>
  </si>
  <si>
    <t>KETERANGAN  ADA PENAMBAHAN 3 KEGIATAN DAN PENGURANGAN 4 KEGIATAN</t>
  </si>
  <si>
    <t>JUMLAH KESELURUHAN</t>
  </si>
  <si>
    <t>Keterangan Jumlah Anggaran keseluruhan</t>
  </si>
  <si>
    <t>Belanja Tidak Langsung dan Langsung  Dinas Perindustrian dan Tenaga Kerja</t>
  </si>
  <si>
    <t>PERBANDINGAN ANGGARAN TAHUN 2019 DENGAN TAHUN 2018</t>
  </si>
  <si>
    <t>DINAS PERINNAKER KAB. MAGELANG</t>
  </si>
  <si>
    <t>TAHUN 2018</t>
  </si>
  <si>
    <t>Realisasi  yang sudah ada SPJ  Tahun 2018</t>
  </si>
  <si>
    <t>Pengurangan</t>
  </si>
  <si>
    <t>Berkurang karena Untuk IMTA di Tahun 2019 di tiadakan, di tahun 2018 sebesar Rp. 137.500.000,-</t>
  </si>
  <si>
    <t>Realisasi sampai Buan Nopember baru ada 3 TKA yang perpanjangan / (IMTA) rencana 9 TKA</t>
  </si>
  <si>
    <t>Regulasi Baru : PERPRES NO 20 Th 2018 Tentang Penggunaan Tenaga Kerja Asing</t>
  </si>
  <si>
    <t xml:space="preserve">REKAPITULASI  ANGGARAN TAHUN 2019 </t>
  </si>
</sst>
</file>

<file path=xl/styles.xml><?xml version="1.0" encoding="utf-8"?>
<styleSheet xmlns="http://schemas.openxmlformats.org/spreadsheetml/2006/main">
  <numFmts count="8">
    <numFmt numFmtId="42" formatCode="_-&quot;Rp&quot;* #,##0_-;\-&quot;Rp&quot;* #,##0_-;_-&quot;Rp&quot;* &quot;-&quot;_-;_-@_-"/>
    <numFmt numFmtId="164" formatCode="&quot;Rp&quot;#,##0_);[Red]\(&quot;Rp&quot;#,##0\)"/>
    <numFmt numFmtId="165" formatCode="_(&quot;Rp&quot;* #,##0_);_(&quot;Rp&quot;* \(#,##0\);_(&quot;Rp&quot;* &quot;-&quot;_);_(@_)"/>
    <numFmt numFmtId="166" formatCode="_(* #,##0_);_(* \(#,##0\);_(* &quot;-&quot;_);_(@_)"/>
    <numFmt numFmtId="167" formatCode="_(* #,##0.00_);_(* \(#,##0.00\);_(* &quot;-&quot;??_);_(@_)"/>
    <numFmt numFmtId="168" formatCode="_(&quot;$&quot;* #,##0_);_(&quot;$&quot;* \(#,##0\);_(&quot;$&quot;* &quot;-&quot;_);_(@_)"/>
    <numFmt numFmtId="169" formatCode="_(* #,##0_);_(* \(#,##0\);_(* &quot;-&quot;??_);_(@_)"/>
    <numFmt numFmtId="170" formatCode="#,##0\ ;&quot; (&quot;#,##0\);&quot; - &quot;;@\ "/>
  </numFmts>
  <fonts count="63">
    <font>
      <sz val="10"/>
      <name val="Arial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8"/>
      <name val="Arial"/>
      <family val="2"/>
    </font>
    <font>
      <sz val="10"/>
      <name val="Arial"/>
      <family val="2"/>
    </font>
    <font>
      <sz val="11"/>
      <color indexed="8"/>
      <name val="Calibri"/>
      <family val="2"/>
      <charset val="1"/>
    </font>
    <font>
      <sz val="11"/>
      <color indexed="9"/>
      <name val="Calibri"/>
      <family val="2"/>
      <charset val="1"/>
    </font>
    <font>
      <sz val="11"/>
      <color indexed="20"/>
      <name val="Calibri"/>
      <family val="2"/>
      <charset val="1"/>
    </font>
    <font>
      <b/>
      <sz val="11"/>
      <color indexed="52"/>
      <name val="Calibri"/>
      <family val="2"/>
      <charset val="1"/>
    </font>
    <font>
      <b/>
      <sz val="11"/>
      <color indexed="9"/>
      <name val="Calibri"/>
      <family val="2"/>
      <charset val="1"/>
    </font>
    <font>
      <sz val="10"/>
      <name val="Arial"/>
      <family val="2"/>
    </font>
    <font>
      <i/>
      <sz val="11"/>
      <color indexed="23"/>
      <name val="Calibri"/>
      <family val="2"/>
      <charset val="1"/>
    </font>
    <font>
      <sz val="11"/>
      <color indexed="17"/>
      <name val="Calibri"/>
      <family val="2"/>
      <charset val="1"/>
    </font>
    <font>
      <b/>
      <sz val="15"/>
      <color indexed="56"/>
      <name val="Calibri"/>
      <family val="2"/>
      <charset val="1"/>
    </font>
    <font>
      <b/>
      <sz val="13"/>
      <color indexed="56"/>
      <name val="Calibri"/>
      <family val="2"/>
      <charset val="1"/>
    </font>
    <font>
      <b/>
      <sz val="11"/>
      <color indexed="56"/>
      <name val="Calibri"/>
      <family val="2"/>
      <charset val="1"/>
    </font>
    <font>
      <sz val="11"/>
      <color indexed="62"/>
      <name val="Calibri"/>
      <family val="2"/>
      <charset val="1"/>
    </font>
    <font>
      <sz val="11"/>
      <color indexed="52"/>
      <name val="Calibri"/>
      <family val="2"/>
      <charset val="1"/>
    </font>
    <font>
      <sz val="11"/>
      <color indexed="60"/>
      <name val="Calibri"/>
      <family val="2"/>
      <charset val="1"/>
    </font>
    <font>
      <b/>
      <sz val="11"/>
      <color indexed="63"/>
      <name val="Calibri"/>
      <family val="2"/>
      <charset val="1"/>
    </font>
    <font>
      <b/>
      <sz val="18"/>
      <color indexed="56"/>
      <name val="Cambria"/>
      <family val="2"/>
      <charset val="1"/>
    </font>
    <font>
      <b/>
      <sz val="11"/>
      <color indexed="8"/>
      <name val="Calibri"/>
      <family val="2"/>
      <charset val="1"/>
    </font>
    <font>
      <sz val="11"/>
      <color indexed="10"/>
      <name val="Calibri"/>
      <family val="2"/>
      <charset val="1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1"/>
    </font>
    <font>
      <sz val="10"/>
      <name val="Arial"/>
      <family val="2"/>
    </font>
    <font>
      <sz val="14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u val="singleAccounting"/>
      <sz val="12"/>
      <name val="Arial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Tahoma"/>
      <family val="2"/>
    </font>
    <font>
      <b/>
      <sz val="12"/>
      <color indexed="8"/>
      <name val="Tahoma"/>
      <family val="2"/>
    </font>
    <font>
      <b/>
      <sz val="14"/>
      <color indexed="8"/>
      <name val="Tahoma"/>
      <family val="2"/>
    </font>
    <font>
      <sz val="10"/>
      <color indexed="8"/>
      <name val="Arial"/>
      <family val="2"/>
    </font>
    <font>
      <b/>
      <sz val="8"/>
      <color indexed="8"/>
      <name val="Tahoma"/>
      <family val="2"/>
    </font>
    <font>
      <sz val="7"/>
      <color indexed="8"/>
      <name val="Tahoma"/>
      <family val="2"/>
    </font>
    <font>
      <b/>
      <sz val="7"/>
      <color indexed="8"/>
      <name val="Tahoma"/>
      <family val="2"/>
    </font>
    <font>
      <sz val="7"/>
      <color indexed="8"/>
      <name val="Arial"/>
      <family val="2"/>
    </font>
    <font>
      <sz val="10"/>
      <color indexed="8"/>
      <name val="Tahoma"/>
      <family val="2"/>
    </font>
    <font>
      <b/>
      <i/>
      <sz val="7"/>
      <color indexed="8"/>
      <name val="Tahoma"/>
      <family val="2"/>
    </font>
    <font>
      <i/>
      <sz val="7"/>
      <color indexed="8"/>
      <name val="Tahoma"/>
      <family val="2"/>
    </font>
    <font>
      <b/>
      <sz val="10"/>
      <color indexed="8"/>
      <name val="Arial"/>
      <family val="2"/>
    </font>
    <font>
      <sz val="8"/>
      <color indexed="8"/>
      <name val="Arial"/>
      <family val="2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b/>
      <i/>
      <sz val="12"/>
      <color theme="1"/>
      <name val="Arial Narrow"/>
      <family val="2"/>
    </font>
    <font>
      <sz val="12"/>
      <color theme="1"/>
      <name val="Times New Roman"/>
      <family val="1"/>
    </font>
    <font>
      <sz val="11"/>
      <color theme="1"/>
      <name val="Arial Narrow"/>
      <family val="2"/>
    </font>
    <font>
      <sz val="16"/>
      <color theme="1"/>
      <name val="Arial Narrow"/>
      <family val="2"/>
    </font>
    <font>
      <u/>
      <sz val="12"/>
      <name val="Arial"/>
      <family val="2"/>
    </font>
    <font>
      <b/>
      <u/>
      <sz val="12"/>
      <name val="Arial"/>
      <family val="2"/>
    </font>
    <font>
      <b/>
      <sz val="16"/>
      <color theme="1"/>
      <name val="Calibri"/>
      <family val="2"/>
      <scheme val="minor"/>
    </font>
    <font>
      <sz val="12"/>
      <color indexed="8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</fills>
  <borders count="6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30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3" borderId="0" applyNumberFormat="0" applyBorder="0" applyAlignment="0" applyProtection="0"/>
    <xf numFmtId="0" fontId="8" fillId="20" borderId="1" applyNumberFormat="0" applyAlignment="0" applyProtection="0"/>
    <xf numFmtId="0" fontId="9" fillId="21" borderId="2" applyNumberFormat="0" applyAlignment="0" applyProtection="0"/>
    <xf numFmtId="0" fontId="4" fillId="0" borderId="0"/>
    <xf numFmtId="166" fontId="4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1" fillId="0" borderId="0" applyFont="0" applyFill="0" applyBorder="0" applyAlignment="0" applyProtection="0"/>
    <xf numFmtId="166" fontId="33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6" fillId="0" borderId="0" applyFont="0" applyFill="0" applyBorder="0" applyAlignment="0" applyProtection="0"/>
    <xf numFmtId="0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30" fillId="0" borderId="0" applyFont="0" applyFill="0" applyBorder="0" applyAlignment="0" applyProtection="0"/>
    <xf numFmtId="0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3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4" fillId="0" borderId="0" applyFont="0" applyFill="0" applyBorder="0" applyAlignment="0" applyProtection="0"/>
    <xf numFmtId="170" fontId="4" fillId="0" borderId="0" applyFill="0" applyBorder="0" applyAlignment="0" applyProtection="0"/>
    <xf numFmtId="167" fontId="4" fillId="0" borderId="0" applyFont="0" applyFill="0" applyBorder="0" applyAlignment="0" applyProtection="0"/>
    <xf numFmtId="170" fontId="32" fillId="0" borderId="0" applyFill="0" applyBorder="0" applyAlignment="0" applyProtection="0"/>
    <xf numFmtId="167" fontId="36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164" fontId="24" fillId="0" borderId="0"/>
    <xf numFmtId="0" fontId="24" fillId="0" borderId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7" borderId="1" applyNumberFormat="0" applyAlignment="0" applyProtection="0"/>
    <xf numFmtId="0" fontId="17" fillId="0" borderId="6" applyNumberFormat="0" applyFill="0" applyAlignment="0" applyProtection="0"/>
    <xf numFmtId="0" fontId="18" fillId="22" borderId="0" applyNumberFormat="0" applyBorder="0" applyAlignment="0" applyProtection="0"/>
    <xf numFmtId="0" fontId="4" fillId="0" borderId="0">
      <alignment horizontal="justify" vertical="center" wrapText="1" readingOrder="1"/>
    </xf>
    <xf numFmtId="0" fontId="33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>
      <alignment horizontal="justify" vertical="center" wrapText="1" readingOrder="1"/>
    </xf>
    <xf numFmtId="0" fontId="4" fillId="0" borderId="0"/>
    <xf numFmtId="0" fontId="2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4" fillId="0" borderId="0"/>
    <xf numFmtId="0" fontId="4" fillId="0" borderId="0">
      <alignment horizontal="justify" vertical="center" wrapText="1" readingOrder="1"/>
    </xf>
    <xf numFmtId="0" fontId="4" fillId="0" borderId="0">
      <alignment horizontal="justify" vertical="center" wrapText="1" readingOrder="1"/>
    </xf>
    <xf numFmtId="0" fontId="38" fillId="0" borderId="0"/>
    <xf numFmtId="0" fontId="24" fillId="0" borderId="0"/>
    <xf numFmtId="0" fontId="32" fillId="0" borderId="0"/>
    <xf numFmtId="0" fontId="4" fillId="0" borderId="0"/>
    <xf numFmtId="0" fontId="10" fillId="23" borderId="7" applyNumberFormat="0" applyFont="0" applyAlignment="0" applyProtection="0"/>
    <xf numFmtId="0" fontId="19" fillId="20" borderId="8" applyNumberFormat="0" applyAlignment="0" applyProtection="0"/>
    <xf numFmtId="9" fontId="30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2" fillId="0" borderId="0" applyNumberFormat="0" applyFill="0" applyBorder="0" applyAlignment="0" applyProtection="0"/>
    <xf numFmtId="167" fontId="39" fillId="0" borderId="0">
      <alignment vertical="top"/>
    </xf>
    <xf numFmtId="167" fontId="43" fillId="0" borderId="0" applyFont="0" applyFill="0" applyBorder="0" applyAlignment="0" applyProtection="0">
      <alignment vertical="top"/>
    </xf>
    <xf numFmtId="167" fontId="43" fillId="0" borderId="0" applyFont="0" applyFill="0" applyBorder="0" applyAlignment="0" applyProtection="0">
      <alignment vertical="top"/>
    </xf>
    <xf numFmtId="167" fontId="43" fillId="0" borderId="0" applyFont="0" applyFill="0" applyBorder="0" applyAlignment="0" applyProtection="0">
      <alignment vertical="top"/>
    </xf>
    <xf numFmtId="167" fontId="4" fillId="0" borderId="0"/>
    <xf numFmtId="0" fontId="2" fillId="0" borderId="0"/>
    <xf numFmtId="0" fontId="1" fillId="0" borderId="0"/>
  </cellStyleXfs>
  <cellXfs count="289">
    <xf numFmtId="0" fontId="0" fillId="0" borderId="0" xfId="0"/>
    <xf numFmtId="0" fontId="34" fillId="0" borderId="10" xfId="102" applyFont="1" applyBorder="1" applyAlignment="1">
      <alignment horizontal="centerContinuous"/>
    </xf>
    <xf numFmtId="0" fontId="35" fillId="0" borderId="11" xfId="102" applyFont="1" applyBorder="1" applyAlignment="1">
      <alignment horizontal="centerContinuous" vertical="center"/>
    </xf>
    <xf numFmtId="0" fontId="3" fillId="0" borderId="12" xfId="94" applyBorder="1"/>
    <xf numFmtId="0" fontId="3" fillId="0" borderId="0" xfId="94"/>
    <xf numFmtId="0" fontId="28" fillId="0" borderId="13" xfId="102" applyFont="1" applyBorder="1" applyAlignment="1">
      <alignment horizontal="centerContinuous"/>
    </xf>
    <xf numFmtId="0" fontId="29" fillId="0" borderId="0" xfId="102" applyFont="1" applyBorder="1" applyAlignment="1">
      <alignment horizontal="centerContinuous" vertical="center"/>
    </xf>
    <xf numFmtId="0" fontId="3" fillId="0" borderId="14" xfId="94" applyBorder="1"/>
    <xf numFmtId="0" fontId="28" fillId="0" borderId="13" xfId="102" applyFont="1" applyBorder="1" applyAlignment="1"/>
    <xf numFmtId="0" fontId="28" fillId="0" borderId="0" xfId="102" applyFont="1" applyBorder="1" applyAlignment="1"/>
    <xf numFmtId="0" fontId="3" fillId="0" borderId="0" xfId="94" applyBorder="1"/>
    <xf numFmtId="0" fontId="28" fillId="0" borderId="0" xfId="102" applyFont="1" applyBorder="1" applyAlignment="1">
      <alignment horizontal="right"/>
    </xf>
    <xf numFmtId="0" fontId="28" fillId="0" borderId="13" xfId="94" applyFont="1" applyBorder="1"/>
    <xf numFmtId="0" fontId="28" fillId="0" borderId="0" xfId="102" applyFont="1" applyBorder="1" applyAlignment="1">
      <alignment vertical="center"/>
    </xf>
    <xf numFmtId="0" fontId="28" fillId="0" borderId="0" xfId="102" applyFont="1" applyBorder="1" applyAlignment="1">
      <alignment horizontal="left" vertical="center"/>
    </xf>
    <xf numFmtId="0" fontId="28" fillId="0" borderId="13" xfId="102" applyFont="1" applyBorder="1" applyAlignment="1">
      <alignment horizontal="center" vertical="center"/>
    </xf>
    <xf numFmtId="0" fontId="28" fillId="0" borderId="13" xfId="102" applyFont="1" applyBorder="1" applyAlignment="1">
      <alignment vertical="center"/>
    </xf>
    <xf numFmtId="166" fontId="28" fillId="0" borderId="0" xfId="31" applyFont="1" applyBorder="1"/>
    <xf numFmtId="0" fontId="28" fillId="0" borderId="0" xfId="102" applyFont="1" applyBorder="1" applyAlignment="1">
      <alignment horizontal="centerContinuous" vertical="center"/>
    </xf>
    <xf numFmtId="0" fontId="4" fillId="0" borderId="0" xfId="115"/>
    <xf numFmtId="0" fontId="4" fillId="0" borderId="13" xfId="115" applyBorder="1"/>
    <xf numFmtId="0" fontId="28" fillId="0" borderId="0" xfId="115" applyFont="1" applyBorder="1"/>
    <xf numFmtId="0" fontId="3" fillId="0" borderId="30" xfId="94" applyBorder="1"/>
    <xf numFmtId="165" fontId="29" fillId="0" borderId="0" xfId="70" applyNumberFormat="1" applyFont="1" applyBorder="1" applyAlignment="1">
      <alignment vertical="center"/>
    </xf>
    <xf numFmtId="0" fontId="28" fillId="0" borderId="0" xfId="102" applyFont="1" applyBorder="1" applyAlignment="1">
      <alignment horizontal="center" vertical="center"/>
    </xf>
    <xf numFmtId="0" fontId="28" fillId="0" borderId="18" xfId="102" applyFont="1" applyBorder="1" applyAlignment="1">
      <alignment horizontal="center" vertical="center"/>
    </xf>
    <xf numFmtId="165" fontId="28" fillId="0" borderId="0" xfId="65" quotePrefix="1" applyNumberFormat="1" applyFont="1" applyBorder="1" applyAlignment="1"/>
    <xf numFmtId="165" fontId="37" fillId="0" borderId="0" xfId="70" applyNumberFormat="1" applyFont="1" applyBorder="1" applyAlignment="1">
      <alignment vertical="center"/>
    </xf>
    <xf numFmtId="167" fontId="39" fillId="0" borderId="0" xfId="123" applyFont="1" applyAlignment="1">
      <alignment horizontal="left" vertical="top" wrapText="1" readingOrder="1"/>
    </xf>
    <xf numFmtId="167" fontId="39" fillId="0" borderId="0" xfId="123">
      <alignment vertical="top"/>
    </xf>
    <xf numFmtId="167" fontId="44" fillId="24" borderId="25" xfId="123" applyFont="1" applyFill="1" applyBorder="1" applyAlignment="1">
      <alignment horizontal="center" vertical="center" wrapText="1" readingOrder="1"/>
    </xf>
    <xf numFmtId="167" fontId="44" fillId="24" borderId="23" xfId="123" applyFont="1" applyFill="1" applyBorder="1" applyAlignment="1">
      <alignment horizontal="center" vertical="center" wrapText="1" readingOrder="1"/>
    </xf>
    <xf numFmtId="167" fontId="39" fillId="0" borderId="21" xfId="123" applyBorder="1">
      <alignment vertical="top"/>
    </xf>
    <xf numFmtId="167" fontId="39" fillId="0" borderId="20" xfId="123" applyBorder="1">
      <alignment vertical="top"/>
    </xf>
    <xf numFmtId="167" fontId="45" fillId="0" borderId="21" xfId="123" applyNumberFormat="1" applyFont="1" applyBorder="1" applyAlignment="1">
      <alignment horizontal="right" vertical="top"/>
    </xf>
    <xf numFmtId="167" fontId="39" fillId="0" borderId="17" xfId="123" applyBorder="1">
      <alignment vertical="top"/>
    </xf>
    <xf numFmtId="167" fontId="39" fillId="0" borderId="19" xfId="123" applyBorder="1">
      <alignment vertical="top"/>
    </xf>
    <xf numFmtId="167" fontId="47" fillId="0" borderId="21" xfId="123" applyNumberFormat="1" applyFont="1" applyBorder="1" applyAlignment="1">
      <alignment horizontal="right" vertical="top"/>
    </xf>
    <xf numFmtId="167" fontId="43" fillId="0" borderId="21" xfId="123" applyFont="1" applyBorder="1" applyAlignment="1">
      <alignment horizontal="center" vertical="top"/>
    </xf>
    <xf numFmtId="167" fontId="43" fillId="0" borderId="21" xfId="123" applyFont="1" applyBorder="1">
      <alignment vertical="top"/>
    </xf>
    <xf numFmtId="167" fontId="43" fillId="24" borderId="21" xfId="123" applyFont="1" applyFill="1" applyBorder="1" applyAlignment="1">
      <alignment horizontal="center" vertical="top"/>
    </xf>
    <xf numFmtId="167" fontId="39" fillId="24" borderId="20" xfId="123" applyFill="1" applyBorder="1">
      <alignment vertical="top"/>
    </xf>
    <xf numFmtId="167" fontId="45" fillId="24" borderId="21" xfId="123" applyNumberFormat="1" applyFont="1" applyFill="1" applyBorder="1" applyAlignment="1">
      <alignment horizontal="right" vertical="top"/>
    </xf>
    <xf numFmtId="167" fontId="39" fillId="0" borderId="21" xfId="123" applyBorder="1" applyAlignment="1">
      <alignment horizontal="center" vertical="top"/>
    </xf>
    <xf numFmtId="167" fontId="39" fillId="0" borderId="28" xfId="123" applyBorder="1">
      <alignment vertical="top"/>
    </xf>
    <xf numFmtId="167" fontId="45" fillId="0" borderId="0" xfId="123" applyNumberFormat="1" applyFont="1" applyAlignment="1">
      <alignment horizontal="right" vertical="top"/>
    </xf>
    <xf numFmtId="167" fontId="45" fillId="0" borderId="17" xfId="123" applyFont="1" applyBorder="1" applyAlignment="1">
      <alignment horizontal="left" vertical="top" wrapText="1"/>
    </xf>
    <xf numFmtId="167" fontId="45" fillId="0" borderId="19" xfId="123" applyFont="1" applyBorder="1" applyAlignment="1">
      <alignment horizontal="left" vertical="top" wrapText="1"/>
    </xf>
    <xf numFmtId="167" fontId="45" fillId="25" borderId="21" xfId="123" applyNumberFormat="1" applyFont="1" applyFill="1" applyBorder="1" applyAlignment="1">
      <alignment horizontal="right" vertical="top"/>
    </xf>
    <xf numFmtId="167" fontId="45" fillId="0" borderId="21" xfId="123" applyNumberFormat="1" applyFont="1" applyFill="1" applyBorder="1" applyAlignment="1">
      <alignment horizontal="right" vertical="top"/>
    </xf>
    <xf numFmtId="167" fontId="43" fillId="26" borderId="21" xfId="123" applyFont="1" applyFill="1" applyBorder="1" applyAlignment="1">
      <alignment horizontal="center" vertical="center"/>
    </xf>
    <xf numFmtId="167" fontId="39" fillId="26" borderId="28" xfId="123" applyFill="1" applyBorder="1" applyAlignment="1">
      <alignment horizontal="center" vertical="center"/>
    </xf>
    <xf numFmtId="167" fontId="39" fillId="26" borderId="20" xfId="123" applyFill="1" applyBorder="1" applyAlignment="1">
      <alignment horizontal="center" vertical="center"/>
    </xf>
    <xf numFmtId="167" fontId="39" fillId="26" borderId="17" xfId="123" applyFill="1" applyBorder="1" applyAlignment="1">
      <alignment horizontal="center" vertical="center"/>
    </xf>
    <xf numFmtId="167" fontId="43" fillId="26" borderId="21" xfId="123" applyNumberFormat="1" applyFont="1" applyFill="1" applyBorder="1" applyAlignment="1">
      <alignment horizontal="center" vertical="center"/>
    </xf>
    <xf numFmtId="167" fontId="39" fillId="26" borderId="21" xfId="123" applyNumberFormat="1" applyFill="1" applyBorder="1" applyAlignment="1">
      <alignment horizontal="center" vertical="center" wrapText="1"/>
    </xf>
    <xf numFmtId="167" fontId="43" fillId="26" borderId="21" xfId="123" applyNumberFormat="1" applyFont="1" applyFill="1" applyBorder="1" applyAlignment="1">
      <alignment horizontal="center" vertical="center" wrapText="1"/>
    </xf>
    <xf numFmtId="167" fontId="39" fillId="26" borderId="21" xfId="123" applyNumberFormat="1" applyFill="1" applyBorder="1" applyAlignment="1">
      <alignment horizontal="center" vertical="center"/>
    </xf>
    <xf numFmtId="167" fontId="48" fillId="26" borderId="21" xfId="123" applyNumberFormat="1" applyFont="1" applyFill="1" applyBorder="1" applyAlignment="1">
      <alignment horizontal="right" vertical="center"/>
    </xf>
    <xf numFmtId="167" fontId="45" fillId="24" borderId="21" xfId="123" applyNumberFormat="1" applyFont="1" applyFill="1" applyBorder="1" applyAlignment="1">
      <alignment horizontal="center" vertical="top"/>
    </xf>
    <xf numFmtId="167" fontId="43" fillId="25" borderId="21" xfId="123" applyFont="1" applyFill="1" applyBorder="1" applyAlignment="1">
      <alignment horizontal="center" vertical="top"/>
    </xf>
    <xf numFmtId="167" fontId="45" fillId="25" borderId="21" xfId="123" applyNumberFormat="1" applyFont="1" applyFill="1" applyBorder="1" applyAlignment="1">
      <alignment horizontal="center" vertical="top"/>
    </xf>
    <xf numFmtId="167" fontId="39" fillId="27" borderId="21" xfId="123" applyFill="1" applyBorder="1" applyAlignment="1">
      <alignment horizontal="center" vertical="top"/>
    </xf>
    <xf numFmtId="167" fontId="39" fillId="27" borderId="28" xfId="123" applyFill="1" applyBorder="1">
      <alignment vertical="top"/>
    </xf>
    <xf numFmtId="167" fontId="39" fillId="27" borderId="20" xfId="123" applyFill="1" applyBorder="1">
      <alignment vertical="top"/>
    </xf>
    <xf numFmtId="167" fontId="45" fillId="27" borderId="21" xfId="123" applyNumberFormat="1" applyFont="1" applyFill="1" applyBorder="1" applyAlignment="1">
      <alignment horizontal="right" vertical="top"/>
    </xf>
    <xf numFmtId="167" fontId="45" fillId="27" borderId="21" xfId="123" applyNumberFormat="1" applyFont="1" applyFill="1" applyBorder="1" applyAlignment="1">
      <alignment horizontal="center" vertical="top"/>
    </xf>
    <xf numFmtId="167" fontId="39" fillId="24" borderId="0" xfId="123" applyFill="1">
      <alignment vertical="top"/>
    </xf>
    <xf numFmtId="167" fontId="39" fillId="0" borderId="21" xfId="123" applyFill="1" applyBorder="1" applyAlignment="1">
      <alignment horizontal="center" vertical="top"/>
    </xf>
    <xf numFmtId="167" fontId="39" fillId="0" borderId="28" xfId="123" applyFill="1" applyBorder="1">
      <alignment vertical="top"/>
    </xf>
    <xf numFmtId="167" fontId="39" fillId="0" borderId="20" xfId="123" applyFill="1" applyBorder="1">
      <alignment vertical="top"/>
    </xf>
    <xf numFmtId="167" fontId="39" fillId="0" borderId="17" xfId="123" applyFill="1" applyBorder="1">
      <alignment vertical="top"/>
    </xf>
    <xf numFmtId="167" fontId="45" fillId="0" borderId="21" xfId="123" applyNumberFormat="1" applyFont="1" applyFill="1" applyBorder="1" applyAlignment="1">
      <alignment horizontal="center" vertical="top"/>
    </xf>
    <xf numFmtId="167" fontId="39" fillId="0" borderId="0" xfId="123" applyFill="1">
      <alignment vertical="top"/>
    </xf>
    <xf numFmtId="167" fontId="45" fillId="0" borderId="21" xfId="123" applyNumberFormat="1" applyFont="1" applyFill="1" applyBorder="1" applyAlignment="1">
      <alignment vertical="top"/>
    </xf>
    <xf numFmtId="167" fontId="39" fillId="25" borderId="28" xfId="123" applyFill="1" applyBorder="1">
      <alignment vertical="top"/>
    </xf>
    <xf numFmtId="167" fontId="45" fillId="0" borderId="21" xfId="124" applyFont="1" applyFill="1" applyBorder="1" applyAlignment="1">
      <alignment horizontal="right" vertical="top"/>
    </xf>
    <xf numFmtId="167" fontId="45" fillId="0" borderId="21" xfId="123" quotePrefix="1" applyNumberFormat="1" applyFont="1" applyFill="1" applyBorder="1" applyAlignment="1">
      <alignment horizontal="right" vertical="top"/>
    </xf>
    <xf numFmtId="167" fontId="45" fillId="27" borderId="21" xfId="123" quotePrefix="1" applyNumberFormat="1" applyFont="1" applyFill="1" applyBorder="1" applyAlignment="1">
      <alignment horizontal="right" vertical="top"/>
    </xf>
    <xf numFmtId="167" fontId="49" fillId="27" borderId="20" xfId="123" applyFont="1" applyFill="1" applyBorder="1" applyAlignment="1">
      <alignment horizontal="left" vertical="top" wrapText="1"/>
    </xf>
    <xf numFmtId="167" fontId="49" fillId="27" borderId="17" xfId="123" applyFont="1" applyFill="1" applyBorder="1" applyAlignment="1">
      <alignment horizontal="left" vertical="top" wrapText="1"/>
    </xf>
    <xf numFmtId="167" fontId="45" fillId="0" borderId="0" xfId="123" applyNumberFormat="1" applyFont="1" applyFill="1" applyAlignment="1">
      <alignment horizontal="right" vertical="top"/>
    </xf>
    <xf numFmtId="167" fontId="45" fillId="0" borderId="17" xfId="123" applyFont="1" applyFill="1" applyBorder="1" applyAlignment="1">
      <alignment horizontal="left" vertical="top" wrapText="1"/>
    </xf>
    <xf numFmtId="167" fontId="39" fillId="0" borderId="21" xfId="123" applyFill="1" applyBorder="1">
      <alignment vertical="top"/>
    </xf>
    <xf numFmtId="167" fontId="39" fillId="0" borderId="19" xfId="123" applyFill="1" applyBorder="1">
      <alignment vertical="top"/>
    </xf>
    <xf numFmtId="167" fontId="43" fillId="0" borderId="21" xfId="125" applyFont="1" applyFill="1" applyBorder="1">
      <alignment vertical="top"/>
    </xf>
    <xf numFmtId="167" fontId="39" fillId="24" borderId="21" xfId="123" applyFill="1" applyBorder="1">
      <alignment vertical="top"/>
    </xf>
    <xf numFmtId="167" fontId="39" fillId="24" borderId="29" xfId="123" applyFill="1" applyBorder="1">
      <alignment vertical="top"/>
    </xf>
    <xf numFmtId="167" fontId="39" fillId="24" borderId="17" xfId="123" applyFill="1" applyBorder="1">
      <alignment vertical="top"/>
    </xf>
    <xf numFmtId="167" fontId="39" fillId="24" borderId="19" xfId="123" applyFill="1" applyBorder="1">
      <alignment vertical="top"/>
    </xf>
    <xf numFmtId="167" fontId="45" fillId="24" borderId="21" xfId="126" applyFont="1" applyFill="1" applyBorder="1" applyAlignment="1">
      <alignment horizontal="right" vertical="top"/>
    </xf>
    <xf numFmtId="167" fontId="51" fillId="25" borderId="0" xfId="123" applyFont="1" applyFill="1">
      <alignment vertical="top"/>
    </xf>
    <xf numFmtId="167" fontId="52" fillId="0" borderId="0" xfId="123" applyFont="1">
      <alignment vertical="top"/>
    </xf>
    <xf numFmtId="167" fontId="39" fillId="0" borderId="0" xfId="123" applyNumberFormat="1">
      <alignment vertical="top"/>
    </xf>
    <xf numFmtId="167" fontId="43" fillId="0" borderId="0" xfId="123" applyFont="1">
      <alignment vertical="top"/>
    </xf>
    <xf numFmtId="167" fontId="43" fillId="0" borderId="0" xfId="123" applyFont="1" applyAlignment="1">
      <alignment horizontal="center" vertical="top"/>
    </xf>
    <xf numFmtId="0" fontId="1" fillId="0" borderId="0" xfId="129"/>
    <xf numFmtId="0" fontId="1" fillId="0" borderId="21" xfId="129" applyBorder="1" applyAlignment="1">
      <alignment horizontal="center"/>
    </xf>
    <xf numFmtId="0" fontId="54" fillId="0" borderId="32" xfId="129" applyFont="1" applyBorder="1" applyAlignment="1">
      <alignment vertical="top" wrapText="1"/>
    </xf>
    <xf numFmtId="4" fontId="54" fillId="0" borderId="32" xfId="129" applyNumberFormat="1" applyFont="1" applyBorder="1" applyAlignment="1">
      <alignment vertical="top" wrapText="1"/>
    </xf>
    <xf numFmtId="4" fontId="54" fillId="0" borderId="33" xfId="129" applyNumberFormat="1" applyFont="1" applyBorder="1" applyAlignment="1">
      <alignment vertical="top" wrapText="1"/>
    </xf>
    <xf numFmtId="4" fontId="54" fillId="0" borderId="35" xfId="129" applyNumberFormat="1" applyFont="1" applyBorder="1" applyAlignment="1">
      <alignment vertical="top" wrapText="1"/>
    </xf>
    <xf numFmtId="0" fontId="53" fillId="0" borderId="31" xfId="129" applyFont="1" applyBorder="1" applyAlignment="1">
      <alignment vertical="top" wrapText="1"/>
    </xf>
    <xf numFmtId="0" fontId="53" fillId="0" borderId="32" xfId="129" applyFont="1" applyBorder="1" applyAlignment="1">
      <alignment vertical="top" wrapText="1"/>
    </xf>
    <xf numFmtId="4" fontId="53" fillId="0" borderId="32" xfId="129" applyNumberFormat="1" applyFont="1" applyBorder="1" applyAlignment="1">
      <alignment vertical="top" wrapText="1"/>
    </xf>
    <xf numFmtId="0" fontId="1" fillId="24" borderId="21" xfId="129" applyFill="1" applyBorder="1" applyAlignment="1">
      <alignment horizontal="center"/>
    </xf>
    <xf numFmtId="0" fontId="54" fillId="24" borderId="31" xfId="129" applyFont="1" applyFill="1" applyBorder="1" applyAlignment="1">
      <alignment vertical="top" wrapText="1"/>
    </xf>
    <xf numFmtId="0" fontId="54" fillId="24" borderId="32" xfId="129" applyFont="1" applyFill="1" applyBorder="1" applyAlignment="1">
      <alignment vertical="top" wrapText="1"/>
    </xf>
    <xf numFmtId="4" fontId="54" fillId="24" borderId="32" xfId="129" applyNumberFormat="1" applyFont="1" applyFill="1" applyBorder="1" applyAlignment="1">
      <alignment vertical="top" wrapText="1"/>
    </xf>
    <xf numFmtId="4" fontId="54" fillId="24" borderId="33" xfId="129" applyNumberFormat="1" applyFont="1" applyFill="1" applyBorder="1" applyAlignment="1">
      <alignment vertical="top" wrapText="1"/>
    </xf>
    <xf numFmtId="4" fontId="54" fillId="24" borderId="35" xfId="129" applyNumberFormat="1" applyFont="1" applyFill="1" applyBorder="1" applyAlignment="1">
      <alignment vertical="top" wrapText="1"/>
    </xf>
    <xf numFmtId="0" fontId="1" fillId="0" borderId="25" xfId="129" applyBorder="1" applyAlignment="1">
      <alignment horizontal="center" vertical="center"/>
    </xf>
    <xf numFmtId="0" fontId="1" fillId="0" borderId="23" xfId="129" applyBorder="1" applyAlignment="1">
      <alignment horizontal="center" vertical="center"/>
    </xf>
    <xf numFmtId="0" fontId="1" fillId="24" borderId="25" xfId="129" applyFill="1" applyBorder="1" applyAlignment="1">
      <alignment horizontal="center" vertical="center"/>
    </xf>
    <xf numFmtId="0" fontId="38" fillId="0" borderId="31" xfId="129" applyFont="1" applyBorder="1" applyAlignment="1">
      <alignment vertical="top" wrapText="1"/>
    </xf>
    <xf numFmtId="4" fontId="54" fillId="0" borderId="44" xfId="129" applyNumberFormat="1" applyFont="1" applyBorder="1" applyAlignment="1">
      <alignment vertical="top" wrapText="1"/>
    </xf>
    <xf numFmtId="0" fontId="56" fillId="0" borderId="0" xfId="129" applyFont="1"/>
    <xf numFmtId="4" fontId="1" fillId="0" borderId="0" xfId="129" applyNumberFormat="1"/>
    <xf numFmtId="0" fontId="1" fillId="0" borderId="21" xfId="129" applyBorder="1" applyAlignment="1">
      <alignment horizontal="center" vertical="center"/>
    </xf>
    <xf numFmtId="0" fontId="54" fillId="0" borderId="31" xfId="129" applyFont="1" applyBorder="1" applyAlignment="1">
      <alignment horizontal="center" vertical="center" wrapText="1"/>
    </xf>
    <xf numFmtId="0" fontId="54" fillId="0" borderId="32" xfId="129" applyFont="1" applyBorder="1" applyAlignment="1">
      <alignment horizontal="center" vertical="center" wrapText="1"/>
    </xf>
    <xf numFmtId="0" fontId="54" fillId="0" borderId="33" xfId="129" applyFont="1" applyBorder="1" applyAlignment="1">
      <alignment horizontal="center" vertical="center" wrapText="1"/>
    </xf>
    <xf numFmtId="0" fontId="54" fillId="0" borderId="35" xfId="129" applyFont="1" applyBorder="1" applyAlignment="1">
      <alignment horizontal="center" vertical="center" wrapText="1"/>
    </xf>
    <xf numFmtId="0" fontId="54" fillId="0" borderId="34" xfId="129" applyFont="1" applyBorder="1" applyAlignment="1">
      <alignment horizontal="center" vertical="center" wrapText="1"/>
    </xf>
    <xf numFmtId="0" fontId="54" fillId="0" borderId="31" xfId="129" applyFont="1" applyBorder="1" applyAlignment="1">
      <alignment vertical="center" wrapText="1"/>
    </xf>
    <xf numFmtId="0" fontId="53" fillId="0" borderId="31" xfId="129" applyFont="1" applyBorder="1" applyAlignment="1">
      <alignment vertical="center" wrapText="1"/>
    </xf>
    <xf numFmtId="0" fontId="57" fillId="0" borderId="0" xfId="129" applyFont="1"/>
    <xf numFmtId="0" fontId="58" fillId="0" borderId="0" xfId="129" applyFont="1" applyAlignment="1">
      <alignment horizontal="centerContinuous"/>
    </xf>
    <xf numFmtId="0" fontId="57" fillId="0" borderId="21" xfId="129" applyFont="1" applyBorder="1" applyAlignment="1">
      <alignment horizontal="center" vertical="center"/>
    </xf>
    <xf numFmtId="0" fontId="57" fillId="24" borderId="21" xfId="129" applyFont="1" applyFill="1" applyBorder="1" applyAlignment="1">
      <alignment horizontal="center"/>
    </xf>
    <xf numFmtId="0" fontId="57" fillId="0" borderId="25" xfId="129" applyFont="1" applyBorder="1" applyAlignment="1">
      <alignment horizontal="center" vertical="center"/>
    </xf>
    <xf numFmtId="0" fontId="57" fillId="0" borderId="23" xfId="129" applyFont="1" applyBorder="1" applyAlignment="1">
      <alignment horizontal="center" vertical="center"/>
    </xf>
    <xf numFmtId="0" fontId="57" fillId="0" borderId="21" xfId="129" applyFont="1" applyBorder="1" applyAlignment="1">
      <alignment horizontal="center"/>
    </xf>
    <xf numFmtId="0" fontId="57" fillId="24" borderId="25" xfId="129" applyFont="1" applyFill="1" applyBorder="1" applyAlignment="1">
      <alignment horizontal="center" vertical="center"/>
    </xf>
    <xf numFmtId="0" fontId="57" fillId="0" borderId="31" xfId="129" applyFont="1" applyBorder="1" applyAlignment="1">
      <alignment vertical="top" wrapText="1"/>
    </xf>
    <xf numFmtId="0" fontId="53" fillId="0" borderId="0" xfId="129" applyFont="1"/>
    <xf numFmtId="0" fontId="28" fillId="0" borderId="0" xfId="102" applyFont="1" applyBorder="1" applyAlignment="1">
      <alignment horizontal="right" vertical="center"/>
    </xf>
    <xf numFmtId="0" fontId="28" fillId="0" borderId="14" xfId="94" applyFont="1" applyBorder="1"/>
    <xf numFmtId="0" fontId="27" fillId="0" borderId="11" xfId="102" applyFont="1" applyBorder="1" applyAlignment="1">
      <alignment horizontal="centerContinuous"/>
    </xf>
    <xf numFmtId="0" fontId="28" fillId="0" borderId="0" xfId="102" applyFont="1" applyBorder="1" applyAlignment="1">
      <alignment horizontal="centerContinuous"/>
    </xf>
    <xf numFmtId="169" fontId="28" fillId="0" borderId="0" xfId="65" quotePrefix="1" applyNumberFormat="1" applyFont="1" applyBorder="1" applyAlignment="1"/>
    <xf numFmtId="169" fontId="37" fillId="0" borderId="0" xfId="70" applyNumberFormat="1" applyFont="1" applyBorder="1" applyAlignment="1">
      <alignment vertical="center"/>
    </xf>
    <xf numFmtId="169" fontId="29" fillId="0" borderId="0" xfId="70" applyNumberFormat="1" applyFont="1" applyBorder="1" applyAlignment="1">
      <alignment vertical="center"/>
    </xf>
    <xf numFmtId="166" fontId="28" fillId="0" borderId="0" xfId="102" applyNumberFormat="1" applyFont="1" applyBorder="1" applyAlignment="1">
      <alignment horizontal="centerContinuous"/>
    </xf>
    <xf numFmtId="166" fontId="28" fillId="0" borderId="0" xfId="102" quotePrefix="1" applyNumberFormat="1" applyFont="1" applyBorder="1" applyAlignment="1">
      <alignment vertical="center"/>
    </xf>
    <xf numFmtId="0" fontId="3" fillId="0" borderId="13" xfId="94" applyBorder="1"/>
    <xf numFmtId="0" fontId="4" fillId="0" borderId="0" xfId="115" applyBorder="1"/>
    <xf numFmtId="0" fontId="28" fillId="0" borderId="13" xfId="115" applyFont="1" applyBorder="1"/>
    <xf numFmtId="0" fontId="4" fillId="0" borderId="15" xfId="115" applyBorder="1"/>
    <xf numFmtId="0" fontId="4" fillId="0" borderId="16" xfId="115" applyBorder="1"/>
    <xf numFmtId="166" fontId="28" fillId="0" borderId="21" xfId="102" applyNumberFormat="1" applyFont="1" applyBorder="1" applyAlignment="1">
      <alignment horizontal="center" vertical="center"/>
    </xf>
    <xf numFmtId="165" fontId="28" fillId="0" borderId="21" xfId="102" applyNumberFormat="1" applyFont="1" applyBorder="1" applyAlignment="1">
      <alignment vertical="center"/>
    </xf>
    <xf numFmtId="0" fontId="28" fillId="0" borderId="21" xfId="102" applyFont="1" applyBorder="1" applyAlignment="1">
      <alignment horizontal="center" vertical="center"/>
    </xf>
    <xf numFmtId="166" fontId="28" fillId="0" borderId="21" xfId="31" applyFont="1" applyBorder="1" applyAlignment="1">
      <alignment horizontal="center" vertical="center"/>
    </xf>
    <xf numFmtId="165" fontId="28" fillId="0" borderId="21" xfId="31" applyNumberFormat="1" applyFont="1" applyBorder="1" applyAlignment="1">
      <alignment vertical="center"/>
    </xf>
    <xf numFmtId="165" fontId="27" fillId="0" borderId="21" xfId="115" applyNumberFormat="1" applyFont="1" applyBorder="1" applyAlignment="1">
      <alignment vertical="center"/>
    </xf>
    <xf numFmtId="0" fontId="59" fillId="0" borderId="0" xfId="115" applyFont="1" applyBorder="1"/>
    <xf numFmtId="0" fontId="29" fillId="0" borderId="0" xfId="115" applyFont="1" applyBorder="1"/>
    <xf numFmtId="165" fontId="28" fillId="0" borderId="45" xfId="94" applyNumberFormat="1" applyFont="1" applyBorder="1"/>
    <xf numFmtId="165" fontId="28" fillId="0" borderId="45" xfId="94" applyNumberFormat="1" applyFont="1" applyBorder="1" applyAlignment="1">
      <alignment vertical="center"/>
    </xf>
    <xf numFmtId="0" fontId="28" fillId="0" borderId="45" xfId="94" applyFont="1" applyBorder="1" applyAlignment="1">
      <alignment vertical="center"/>
    </xf>
    <xf numFmtId="0" fontId="28" fillId="0" borderId="13" xfId="102" applyFont="1" applyBorder="1" applyAlignment="1">
      <alignment horizontal="center" vertical="top"/>
    </xf>
    <xf numFmtId="165" fontId="27" fillId="0" borderId="21" xfId="102" applyNumberFormat="1" applyFont="1" applyBorder="1" applyAlignment="1">
      <alignment vertical="center"/>
    </xf>
    <xf numFmtId="165" fontId="27" fillId="0" borderId="21" xfId="31" applyNumberFormat="1" applyFont="1" applyBorder="1" applyAlignment="1">
      <alignment vertical="center"/>
    </xf>
    <xf numFmtId="0" fontId="61" fillId="0" borderId="0" xfId="129" applyFont="1" applyAlignment="1">
      <alignment horizontal="centerContinuous"/>
    </xf>
    <xf numFmtId="0" fontId="54" fillId="0" borderId="32" xfId="129" applyFont="1" applyBorder="1" applyAlignment="1">
      <alignment horizontal="right" vertical="top" wrapText="1"/>
    </xf>
    <xf numFmtId="0" fontId="54" fillId="0" borderId="47" xfId="129" applyFont="1" applyBorder="1" applyAlignment="1">
      <alignment horizontal="center" vertical="center" wrapText="1"/>
    </xf>
    <xf numFmtId="4" fontId="54" fillId="0" borderId="47" xfId="129" applyNumberFormat="1" applyFont="1" applyBorder="1" applyAlignment="1">
      <alignment vertical="top" wrapText="1"/>
    </xf>
    <xf numFmtId="4" fontId="54" fillId="24" borderId="31" xfId="129" applyNumberFormat="1" applyFont="1" applyFill="1" applyBorder="1" applyAlignment="1">
      <alignment vertical="top" wrapText="1"/>
    </xf>
    <xf numFmtId="4" fontId="54" fillId="24" borderId="47" xfId="129" applyNumberFormat="1" applyFont="1" applyFill="1" applyBorder="1" applyAlignment="1">
      <alignment vertical="top" wrapText="1"/>
    </xf>
    <xf numFmtId="0" fontId="1" fillId="0" borderId="53" xfId="129" applyBorder="1" applyAlignment="1">
      <alignment horizontal="center" vertical="center"/>
    </xf>
    <xf numFmtId="0" fontId="54" fillId="0" borderId="54" xfId="129" applyFont="1" applyBorder="1" applyAlignment="1">
      <alignment horizontal="center" vertical="center" wrapText="1"/>
    </xf>
    <xf numFmtId="0" fontId="54" fillId="0" borderId="55" xfId="129" applyFont="1" applyBorder="1" applyAlignment="1">
      <alignment horizontal="center" vertical="center" wrapText="1"/>
    </xf>
    <xf numFmtId="0" fontId="54" fillId="0" borderId="56" xfId="129" applyFont="1" applyBorder="1" applyAlignment="1">
      <alignment horizontal="center" vertical="center" wrapText="1"/>
    </xf>
    <xf numFmtId="0" fontId="1" fillId="0" borderId="61" xfId="129" applyBorder="1" applyAlignment="1">
      <alignment horizontal="center" vertical="center"/>
    </xf>
    <xf numFmtId="4" fontId="54" fillId="0" borderId="62" xfId="129" applyNumberFormat="1" applyFont="1" applyBorder="1" applyAlignment="1">
      <alignment vertical="top" wrapText="1"/>
    </xf>
    <xf numFmtId="0" fontId="1" fillId="24" borderId="61" xfId="129" applyFill="1" applyBorder="1" applyAlignment="1">
      <alignment horizontal="center"/>
    </xf>
    <xf numFmtId="4" fontId="54" fillId="24" borderId="62" xfId="129" applyNumberFormat="1" applyFont="1" applyFill="1" applyBorder="1" applyAlignment="1">
      <alignment vertical="top" wrapText="1"/>
    </xf>
    <xf numFmtId="0" fontId="1" fillId="0" borderId="57" xfId="129" applyBorder="1" applyAlignment="1">
      <alignment horizontal="center" vertical="center"/>
    </xf>
    <xf numFmtId="0" fontId="1" fillId="0" borderId="59" xfId="129" applyBorder="1" applyAlignment="1">
      <alignment horizontal="center" vertical="center"/>
    </xf>
    <xf numFmtId="0" fontId="1" fillId="0" borderId="61" xfId="129" applyBorder="1" applyAlignment="1">
      <alignment horizontal="center"/>
    </xf>
    <xf numFmtId="0" fontId="1" fillId="24" borderId="57" xfId="129" applyFill="1" applyBorder="1" applyAlignment="1">
      <alignment horizontal="center" vertical="center"/>
    </xf>
    <xf numFmtId="0" fontId="1" fillId="0" borderId="63" xfId="129" applyBorder="1" applyAlignment="1">
      <alignment horizontal="center"/>
    </xf>
    <xf numFmtId="0" fontId="38" fillId="0" borderId="64" xfId="129" applyFont="1" applyBorder="1" applyAlignment="1">
      <alignment vertical="top" wrapText="1"/>
    </xf>
    <xf numFmtId="0" fontId="54" fillId="0" borderId="65" xfId="129" applyFont="1" applyBorder="1" applyAlignment="1">
      <alignment horizontal="right" vertical="top" wrapText="1"/>
    </xf>
    <xf numFmtId="4" fontId="54" fillId="0" borderId="65" xfId="129" applyNumberFormat="1" applyFont="1" applyBorder="1" applyAlignment="1">
      <alignment vertical="top" wrapText="1"/>
    </xf>
    <xf numFmtId="4" fontId="54" fillId="0" borderId="66" xfId="129" applyNumberFormat="1" applyFont="1" applyBorder="1" applyAlignment="1">
      <alignment vertical="top" wrapText="1"/>
    </xf>
    <xf numFmtId="0" fontId="55" fillId="0" borderId="36" xfId="129" applyFont="1" applyBorder="1" applyAlignment="1">
      <alignment vertical="top" wrapText="1"/>
    </xf>
    <xf numFmtId="0" fontId="55" fillId="0" borderId="37" xfId="129" applyFont="1" applyBorder="1" applyAlignment="1">
      <alignment vertical="top" wrapText="1"/>
    </xf>
    <xf numFmtId="42" fontId="1" fillId="0" borderId="0" xfId="129" applyNumberFormat="1"/>
    <xf numFmtId="42" fontId="54" fillId="0" borderId="32" xfId="129" applyNumberFormat="1" applyFont="1" applyBorder="1" applyAlignment="1">
      <alignment horizontal="center" vertical="center" wrapText="1"/>
    </xf>
    <xf numFmtId="42" fontId="1" fillId="0" borderId="32" xfId="129" applyNumberFormat="1" applyBorder="1"/>
    <xf numFmtId="42" fontId="57" fillId="0" borderId="32" xfId="129" applyNumberFormat="1" applyFont="1" applyBorder="1"/>
    <xf numFmtId="0" fontId="55" fillId="0" borderId="36" xfId="129" applyFont="1" applyBorder="1" applyAlignment="1">
      <alignment vertical="top" wrapText="1"/>
    </xf>
    <xf numFmtId="0" fontId="55" fillId="0" borderId="40" xfId="129" applyFont="1" applyBorder="1" applyAlignment="1">
      <alignment vertical="top" wrapText="1"/>
    </xf>
    <xf numFmtId="0" fontId="55" fillId="0" borderId="37" xfId="129" applyFont="1" applyBorder="1" applyAlignment="1">
      <alignment vertical="top" wrapText="1"/>
    </xf>
    <xf numFmtId="0" fontId="55" fillId="0" borderId="41" xfId="129" applyFont="1" applyBorder="1" applyAlignment="1">
      <alignment vertical="top" wrapText="1"/>
    </xf>
    <xf numFmtId="4" fontId="55" fillId="0" borderId="37" xfId="129" applyNumberFormat="1" applyFont="1" applyBorder="1" applyAlignment="1">
      <alignment vertical="top" wrapText="1"/>
    </xf>
    <xf numFmtId="4" fontId="55" fillId="0" borderId="41" xfId="129" applyNumberFormat="1" applyFont="1" applyBorder="1" applyAlignment="1">
      <alignment vertical="top" wrapText="1"/>
    </xf>
    <xf numFmtId="4" fontId="55" fillId="0" borderId="58" xfId="129" applyNumberFormat="1" applyFont="1" applyBorder="1" applyAlignment="1">
      <alignment vertical="top" wrapText="1"/>
    </xf>
    <xf numFmtId="4" fontId="55" fillId="0" borderId="60" xfId="129" applyNumberFormat="1" applyFont="1" applyBorder="1" applyAlignment="1">
      <alignment vertical="top" wrapText="1"/>
    </xf>
    <xf numFmtId="4" fontId="55" fillId="0" borderId="51" xfId="129" applyNumberFormat="1" applyFont="1" applyBorder="1" applyAlignment="1">
      <alignment vertical="top" wrapText="1"/>
    </xf>
    <xf numFmtId="4" fontId="55" fillId="0" borderId="52" xfId="129" applyNumberFormat="1" applyFont="1" applyBorder="1" applyAlignment="1">
      <alignment vertical="top" wrapText="1"/>
    </xf>
    <xf numFmtId="0" fontId="53" fillId="0" borderId="0" xfId="129" applyFont="1" applyAlignment="1">
      <alignment vertical="top" wrapText="1"/>
    </xf>
    <xf numFmtId="0" fontId="54" fillId="0" borderId="47" xfId="129" applyFont="1" applyBorder="1" applyAlignment="1">
      <alignment horizontal="center" vertical="center" wrapText="1"/>
    </xf>
    <xf numFmtId="0" fontId="54" fillId="0" borderId="48" xfId="129" applyFont="1" applyBorder="1" applyAlignment="1">
      <alignment horizontal="center" vertical="center" wrapText="1"/>
    </xf>
    <xf numFmtId="0" fontId="1" fillId="0" borderId="57" xfId="129" applyBorder="1" applyAlignment="1">
      <alignment horizontal="center" vertical="center"/>
    </xf>
    <xf numFmtId="0" fontId="1" fillId="0" borderId="59" xfId="129" applyBorder="1" applyAlignment="1">
      <alignment horizontal="center" vertical="center"/>
    </xf>
    <xf numFmtId="0" fontId="54" fillId="0" borderId="49" xfId="129" applyFont="1" applyBorder="1" applyAlignment="1">
      <alignment horizontal="center" vertical="center" wrapText="1"/>
    </xf>
    <xf numFmtId="0" fontId="54" fillId="0" borderId="50" xfId="129" applyFont="1" applyBorder="1" applyAlignment="1">
      <alignment horizontal="center" vertical="center" wrapText="1"/>
    </xf>
    <xf numFmtId="0" fontId="54" fillId="0" borderId="37" xfId="129" applyFont="1" applyBorder="1" applyAlignment="1">
      <alignment horizontal="center" vertical="center" wrapText="1"/>
    </xf>
    <xf numFmtId="0" fontId="54" fillId="0" borderId="41" xfId="129" applyFont="1" applyBorder="1" applyAlignment="1">
      <alignment horizontal="center" vertical="center" wrapText="1"/>
    </xf>
    <xf numFmtId="0" fontId="54" fillId="0" borderId="58" xfId="129" applyFont="1" applyBorder="1" applyAlignment="1">
      <alignment horizontal="center" vertical="center" wrapText="1"/>
    </xf>
    <xf numFmtId="0" fontId="54" fillId="0" borderId="60" xfId="129" applyFont="1" applyBorder="1" applyAlignment="1">
      <alignment horizontal="center" vertical="center" wrapText="1"/>
    </xf>
    <xf numFmtId="4" fontId="55" fillId="0" borderId="39" xfId="129" applyNumberFormat="1" applyFont="1" applyBorder="1" applyAlignment="1">
      <alignment vertical="top" wrapText="1"/>
    </xf>
    <xf numFmtId="4" fontId="55" fillId="0" borderId="43" xfId="129" applyNumberFormat="1" applyFont="1" applyBorder="1" applyAlignment="1">
      <alignment vertical="top" wrapText="1"/>
    </xf>
    <xf numFmtId="4" fontId="55" fillId="0" borderId="38" xfId="129" applyNumberFormat="1" applyFont="1" applyBorder="1" applyAlignment="1">
      <alignment vertical="top" wrapText="1"/>
    </xf>
    <xf numFmtId="4" fontId="55" fillId="0" borderId="42" xfId="129" applyNumberFormat="1" applyFont="1" applyBorder="1" applyAlignment="1">
      <alignment vertical="top" wrapText="1"/>
    </xf>
    <xf numFmtId="0" fontId="1" fillId="0" borderId="25" xfId="129" applyBorder="1" applyAlignment="1">
      <alignment horizontal="center" vertical="center"/>
    </xf>
    <xf numFmtId="0" fontId="1" fillId="0" borderId="23" xfId="129" applyBorder="1" applyAlignment="1">
      <alignment horizontal="center" vertical="center"/>
    </xf>
    <xf numFmtId="0" fontId="54" fillId="0" borderId="33" xfId="129" applyFont="1" applyBorder="1" applyAlignment="1">
      <alignment horizontal="center" vertical="center" wrapText="1"/>
    </xf>
    <xf numFmtId="0" fontId="28" fillId="0" borderId="0" xfId="115" applyFont="1" applyBorder="1" applyAlignment="1">
      <alignment horizontal="right" vertical="center"/>
    </xf>
    <xf numFmtId="0" fontId="28" fillId="0" borderId="46" xfId="115" applyFont="1" applyBorder="1" applyAlignment="1">
      <alignment horizontal="right" vertical="center"/>
    </xf>
    <xf numFmtId="0" fontId="28" fillId="0" borderId="0" xfId="102" applyFont="1" applyBorder="1" applyAlignment="1">
      <alignment horizontal="left" vertical="center" wrapText="1"/>
    </xf>
    <xf numFmtId="0" fontId="28" fillId="0" borderId="14" xfId="102" applyFont="1" applyBorder="1" applyAlignment="1">
      <alignment horizontal="left" vertical="center" wrapText="1"/>
    </xf>
    <xf numFmtId="167" fontId="62" fillId="0" borderId="0" xfId="123" applyNumberFormat="1" applyFont="1" applyFill="1" applyBorder="1" applyAlignment="1">
      <alignment vertical="center" wrapText="1"/>
    </xf>
    <xf numFmtId="167" fontId="62" fillId="0" borderId="14" xfId="123" applyNumberFormat="1" applyFont="1" applyFill="1" applyBorder="1" applyAlignment="1">
      <alignment vertical="center" wrapText="1"/>
    </xf>
    <xf numFmtId="167" fontId="62" fillId="0" borderId="0" xfId="123" applyNumberFormat="1" applyFont="1" applyFill="1" applyBorder="1" applyAlignment="1">
      <alignment horizontal="left" vertical="center" wrapText="1"/>
    </xf>
    <xf numFmtId="167" fontId="62" fillId="0" borderId="14" xfId="123" applyNumberFormat="1" applyFont="1" applyFill="1" applyBorder="1" applyAlignment="1">
      <alignment horizontal="left" vertical="center" wrapText="1"/>
    </xf>
    <xf numFmtId="0" fontId="28" fillId="0" borderId="0" xfId="102" applyFont="1" applyBorder="1" applyAlignment="1">
      <alignment horizontal="right" vertical="center"/>
    </xf>
    <xf numFmtId="0" fontId="28" fillId="0" borderId="0" xfId="115" applyFont="1" applyBorder="1" applyAlignment="1">
      <alignment vertical="top" wrapText="1"/>
    </xf>
    <xf numFmtId="0" fontId="28" fillId="0" borderId="46" xfId="115" applyFont="1" applyBorder="1" applyAlignment="1">
      <alignment vertical="top" wrapText="1"/>
    </xf>
    <xf numFmtId="0" fontId="28" fillId="0" borderId="46" xfId="102" applyFont="1" applyBorder="1" applyAlignment="1">
      <alignment horizontal="right" vertical="center"/>
    </xf>
    <xf numFmtId="0" fontId="28" fillId="0" borderId="0" xfId="102" applyFont="1" applyBorder="1" applyAlignment="1">
      <alignment wrapText="1"/>
    </xf>
    <xf numFmtId="0" fontId="28" fillId="0" borderId="46" xfId="102" applyFont="1" applyBorder="1" applyAlignment="1">
      <alignment wrapText="1"/>
    </xf>
    <xf numFmtId="0" fontId="60" fillId="0" borderId="13" xfId="102" applyFont="1" applyBorder="1" applyAlignment="1">
      <alignment horizontal="left" vertical="center"/>
    </xf>
    <xf numFmtId="0" fontId="60" fillId="0" borderId="0" xfId="102" applyFont="1" applyBorder="1" applyAlignment="1">
      <alignment horizontal="left" vertical="center"/>
    </xf>
    <xf numFmtId="167" fontId="44" fillId="24" borderId="20" xfId="123" applyFont="1" applyFill="1" applyBorder="1" applyAlignment="1">
      <alignment horizontal="left" vertical="top" wrapText="1" readingOrder="1"/>
    </xf>
    <xf numFmtId="167" fontId="44" fillId="24" borderId="17" xfId="123" applyFont="1" applyFill="1" applyBorder="1" applyAlignment="1">
      <alignment horizontal="left" vertical="top" wrapText="1" readingOrder="1"/>
    </xf>
    <xf numFmtId="167" fontId="44" fillId="24" borderId="19" xfId="123" applyFont="1" applyFill="1" applyBorder="1" applyAlignment="1">
      <alignment horizontal="left" vertical="top" wrapText="1" readingOrder="1"/>
    </xf>
    <xf numFmtId="167" fontId="45" fillId="0" borderId="17" xfId="123" applyFont="1" applyFill="1" applyBorder="1" applyAlignment="1">
      <alignment horizontal="left" vertical="top" wrapText="1"/>
    </xf>
    <xf numFmtId="167" fontId="45" fillId="0" borderId="19" xfId="123" applyFont="1" applyFill="1" applyBorder="1" applyAlignment="1">
      <alignment horizontal="left" vertical="top" wrapText="1"/>
    </xf>
    <xf numFmtId="167" fontId="45" fillId="27" borderId="17" xfId="123" applyFont="1" applyFill="1" applyBorder="1" applyAlignment="1">
      <alignment horizontal="left" vertical="top" wrapText="1"/>
    </xf>
    <xf numFmtId="167" fontId="45" fillId="27" borderId="19" xfId="123" applyFont="1" applyFill="1" applyBorder="1" applyAlignment="1">
      <alignment horizontal="left" vertical="top" wrapText="1"/>
    </xf>
    <xf numFmtId="167" fontId="50" fillId="27" borderId="17" xfId="123" applyFont="1" applyFill="1" applyBorder="1" applyAlignment="1">
      <alignment horizontal="left" vertical="top" wrapText="1"/>
    </xf>
    <xf numFmtId="167" fontId="50" fillId="27" borderId="19" xfId="123" applyFont="1" applyFill="1" applyBorder="1" applyAlignment="1">
      <alignment horizontal="left" vertical="top" wrapText="1"/>
    </xf>
    <xf numFmtId="167" fontId="45" fillId="0" borderId="20" xfId="123" applyFont="1" applyFill="1" applyBorder="1" applyAlignment="1">
      <alignment horizontal="left" vertical="top" wrapText="1"/>
    </xf>
    <xf numFmtId="167" fontId="45" fillId="25" borderId="17" xfId="123" applyFont="1" applyFill="1" applyBorder="1" applyAlignment="1">
      <alignment horizontal="left" vertical="top" wrapText="1"/>
    </xf>
    <xf numFmtId="167" fontId="45" fillId="25" borderId="19" xfId="123" applyFont="1" applyFill="1" applyBorder="1" applyAlignment="1">
      <alignment horizontal="left" vertical="top" wrapText="1"/>
    </xf>
    <xf numFmtId="167" fontId="49" fillId="25" borderId="20" xfId="123" applyFont="1" applyFill="1" applyBorder="1" applyAlignment="1">
      <alignment horizontal="left" vertical="top" wrapText="1"/>
    </xf>
    <xf numFmtId="167" fontId="49" fillId="25" borderId="17" xfId="123" applyFont="1" applyFill="1" applyBorder="1" applyAlignment="1">
      <alignment horizontal="left" vertical="top" wrapText="1"/>
    </xf>
    <xf numFmtId="167" fontId="49" fillId="25" borderId="19" xfId="123" applyFont="1" applyFill="1" applyBorder="1" applyAlignment="1">
      <alignment horizontal="left" vertical="top" wrapText="1"/>
    </xf>
    <xf numFmtId="167" fontId="50" fillId="27" borderId="17" xfId="123" applyFont="1" applyFill="1" applyBorder="1" applyAlignment="1">
      <alignment horizontal="left" vertical="top" wrapText="1" readingOrder="1"/>
    </xf>
    <xf numFmtId="167" fontId="50" fillId="27" borderId="19" xfId="123" applyFont="1" applyFill="1" applyBorder="1" applyAlignment="1">
      <alignment horizontal="left" vertical="top" wrapText="1" readingOrder="1"/>
    </xf>
    <xf numFmtId="167" fontId="45" fillId="0" borderId="17" xfId="123" applyFont="1" applyBorder="1" applyAlignment="1">
      <alignment horizontal="left" vertical="top" wrapText="1"/>
    </xf>
    <xf numFmtId="167" fontId="45" fillId="0" borderId="19" xfId="123" applyFont="1" applyBorder="1" applyAlignment="1">
      <alignment horizontal="left" vertical="top" wrapText="1"/>
    </xf>
    <xf numFmtId="167" fontId="45" fillId="0" borderId="20" xfId="123" applyFont="1" applyBorder="1" applyAlignment="1">
      <alignment horizontal="left" vertical="top" wrapText="1"/>
    </xf>
    <xf numFmtId="167" fontId="43" fillId="26" borderId="17" xfId="123" applyFont="1" applyFill="1" applyBorder="1" applyAlignment="1">
      <alignment horizontal="center" vertical="center"/>
    </xf>
    <xf numFmtId="167" fontId="43" fillId="26" borderId="19" xfId="123" applyFont="1" applyFill="1" applyBorder="1" applyAlignment="1">
      <alignment horizontal="center" vertical="center"/>
    </xf>
    <xf numFmtId="167" fontId="45" fillId="24" borderId="17" xfId="123" applyFont="1" applyFill="1" applyBorder="1" applyAlignment="1">
      <alignment horizontal="left" vertical="top" wrapText="1"/>
    </xf>
    <xf numFmtId="167" fontId="45" fillId="24" borderId="19" xfId="123" applyFont="1" applyFill="1" applyBorder="1" applyAlignment="1">
      <alignment horizontal="left" vertical="top" wrapText="1"/>
    </xf>
    <xf numFmtId="167" fontId="46" fillId="24" borderId="20" xfId="123" applyFont="1" applyFill="1" applyBorder="1" applyAlignment="1">
      <alignment horizontal="left" vertical="top" wrapText="1"/>
    </xf>
    <xf numFmtId="167" fontId="46" fillId="24" borderId="17" xfId="123" applyFont="1" applyFill="1" applyBorder="1" applyAlignment="1">
      <alignment horizontal="left" vertical="top" wrapText="1"/>
    </xf>
    <xf numFmtId="167" fontId="46" fillId="24" borderId="19" xfId="123" applyFont="1" applyFill="1" applyBorder="1" applyAlignment="1">
      <alignment horizontal="left" vertical="top" wrapText="1"/>
    </xf>
    <xf numFmtId="167" fontId="44" fillId="24" borderId="25" xfId="123" applyFont="1" applyFill="1" applyBorder="1" applyAlignment="1">
      <alignment horizontal="center" vertical="center" wrapText="1" readingOrder="1"/>
    </xf>
    <xf numFmtId="167" fontId="44" fillId="24" borderId="23" xfId="123" applyFont="1" applyFill="1" applyBorder="1" applyAlignment="1">
      <alignment horizontal="center" vertical="center" wrapText="1" readingOrder="1"/>
    </xf>
    <xf numFmtId="167" fontId="44" fillId="24" borderId="25" xfId="123" applyFont="1" applyFill="1" applyBorder="1" applyAlignment="1">
      <alignment horizontal="center" vertical="top" wrapText="1" readingOrder="1"/>
    </xf>
    <xf numFmtId="167" fontId="44" fillId="24" borderId="23" xfId="123" applyFont="1" applyFill="1" applyBorder="1" applyAlignment="1">
      <alignment horizontal="center" vertical="top" wrapText="1" readingOrder="1"/>
    </xf>
    <xf numFmtId="167" fontId="40" fillId="0" borderId="0" xfId="123" applyFont="1" applyAlignment="1">
      <alignment horizontal="center" vertical="top" wrapText="1" readingOrder="1"/>
    </xf>
    <xf numFmtId="167" fontId="41" fillId="0" borderId="0" xfId="123" applyFont="1" applyAlignment="1">
      <alignment horizontal="center" vertical="top" wrapText="1" readingOrder="1"/>
    </xf>
    <xf numFmtId="167" fontId="42" fillId="0" borderId="0" xfId="123" applyFont="1" applyAlignment="1">
      <alignment horizontal="center" vertical="top" wrapText="1" readingOrder="1"/>
    </xf>
    <xf numFmtId="167" fontId="43" fillId="24" borderId="25" xfId="123" applyFont="1" applyFill="1" applyBorder="1" applyAlignment="1">
      <alignment horizontal="center" vertical="center"/>
    </xf>
    <xf numFmtId="167" fontId="43" fillId="24" borderId="23" xfId="123" applyFont="1" applyFill="1" applyBorder="1" applyAlignment="1">
      <alignment horizontal="center" vertical="center"/>
    </xf>
    <xf numFmtId="167" fontId="44" fillId="24" borderId="27" xfId="123" applyFont="1" applyFill="1" applyBorder="1" applyAlignment="1">
      <alignment horizontal="center" vertical="center" wrapText="1" readingOrder="1"/>
    </xf>
    <xf numFmtId="167" fontId="44" fillId="24" borderId="24" xfId="123" applyFont="1" applyFill="1" applyBorder="1" applyAlignment="1">
      <alignment horizontal="center" vertical="center" wrapText="1" readingOrder="1"/>
    </xf>
    <xf numFmtId="167" fontId="44" fillId="24" borderId="26" xfId="123" applyFont="1" applyFill="1" applyBorder="1" applyAlignment="1">
      <alignment horizontal="center" vertical="center" wrapText="1" readingOrder="1"/>
    </xf>
    <xf numFmtId="167" fontId="44" fillId="24" borderId="29" xfId="123" applyFont="1" applyFill="1" applyBorder="1" applyAlignment="1">
      <alignment horizontal="center" vertical="center" wrapText="1" readingOrder="1"/>
    </xf>
    <xf numFmtId="167" fontId="44" fillId="24" borderId="18" xfId="123" applyFont="1" applyFill="1" applyBorder="1" applyAlignment="1">
      <alignment horizontal="center" vertical="center" wrapText="1" readingOrder="1"/>
    </xf>
    <xf numFmtId="167" fontId="44" fillId="24" borderId="22" xfId="123" applyFont="1" applyFill="1" applyBorder="1" applyAlignment="1">
      <alignment horizontal="center" vertical="center" wrapText="1" readingOrder="1"/>
    </xf>
    <xf numFmtId="167" fontId="43" fillId="24" borderId="27" xfId="123" applyFont="1" applyFill="1" applyBorder="1" applyAlignment="1">
      <alignment horizontal="center" vertical="center"/>
    </xf>
    <xf numFmtId="167" fontId="43" fillId="24" borderId="24" xfId="123" applyFont="1" applyFill="1" applyBorder="1" applyAlignment="1">
      <alignment horizontal="center" vertical="center"/>
    </xf>
    <xf numFmtId="167" fontId="43" fillId="24" borderId="26" xfId="123" applyFont="1" applyFill="1" applyBorder="1" applyAlignment="1">
      <alignment horizontal="center" vertical="center"/>
    </xf>
    <xf numFmtId="167" fontId="43" fillId="24" borderId="29" xfId="123" applyFont="1" applyFill="1" applyBorder="1" applyAlignment="1">
      <alignment horizontal="center" vertical="center"/>
    </xf>
    <xf numFmtId="167" fontId="43" fillId="24" borderId="18" xfId="123" applyFont="1" applyFill="1" applyBorder="1" applyAlignment="1">
      <alignment horizontal="center" vertical="center"/>
    </xf>
    <xf numFmtId="167" fontId="43" fillId="24" borderId="22" xfId="123" applyFont="1" applyFill="1" applyBorder="1" applyAlignment="1">
      <alignment horizontal="center" vertical="center"/>
    </xf>
    <xf numFmtId="167" fontId="45" fillId="24" borderId="20" xfId="123" applyFont="1" applyFill="1" applyBorder="1" applyAlignment="1">
      <alignment horizontal="left" vertical="top" wrapText="1"/>
    </xf>
    <xf numFmtId="167" fontId="46" fillId="0" borderId="20" xfId="123" applyFont="1" applyBorder="1" applyAlignment="1">
      <alignment horizontal="left" vertical="top" wrapText="1"/>
    </xf>
    <xf numFmtId="167" fontId="46" fillId="0" borderId="17" xfId="123" applyFont="1" applyBorder="1" applyAlignment="1">
      <alignment horizontal="left" vertical="top" wrapText="1"/>
    </xf>
    <xf numFmtId="167" fontId="46" fillId="0" borderId="19" xfId="123" applyFont="1" applyBorder="1" applyAlignment="1">
      <alignment horizontal="left" vertical="top" wrapText="1"/>
    </xf>
  </cellXfs>
  <cellStyles count="130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[0] 10" xfId="28"/>
    <cellStyle name="Comma [0] 11" xfId="29"/>
    <cellStyle name="Comma [0] 12" xfId="30"/>
    <cellStyle name="Comma [0] 13" xfId="126"/>
    <cellStyle name="Comma [0] 2" xfId="31"/>
    <cellStyle name="Comma [0] 2 2" xfId="32"/>
    <cellStyle name="Comma [0] 2 2 2" xfId="33"/>
    <cellStyle name="Comma [0] 2 3" xfId="34"/>
    <cellStyle name="Comma [0] 3" xfId="35"/>
    <cellStyle name="Comma [0] 3 2" xfId="36"/>
    <cellStyle name="Comma [0] 4" xfId="37"/>
    <cellStyle name="Comma [0] 4 2" xfId="38"/>
    <cellStyle name="Comma [0] 4 3" xfId="39"/>
    <cellStyle name="Comma [0] 5" xfId="40"/>
    <cellStyle name="Comma [0] 5 2" xfId="41"/>
    <cellStyle name="Comma [0] 5 2 2" xfId="42"/>
    <cellStyle name="Comma [0] 5 3" xfId="43"/>
    <cellStyle name="Comma [0] 5 4" xfId="44"/>
    <cellStyle name="Comma [0] 5 5" xfId="45"/>
    <cellStyle name="Comma [0] 5 6" xfId="46"/>
    <cellStyle name="Comma [0] 6" xfId="47"/>
    <cellStyle name="Comma [0] 7" xfId="48"/>
    <cellStyle name="Comma [0] 8" xfId="49"/>
    <cellStyle name="Comma [0] 9" xfId="50"/>
    <cellStyle name="Comma 10" xfId="51"/>
    <cellStyle name="Comma 11" xfId="52"/>
    <cellStyle name="Comma 12" xfId="125"/>
    <cellStyle name="Comma 2" xfId="53"/>
    <cellStyle name="Comma 2 2" xfId="54"/>
    <cellStyle name="Comma 3" xfId="55"/>
    <cellStyle name="Comma 3 2" xfId="56"/>
    <cellStyle name="Comma 3 2 2" xfId="57"/>
    <cellStyle name="Comma 3 2 3" xfId="58"/>
    <cellStyle name="Comma 3 3" xfId="59"/>
    <cellStyle name="Comma 3 4" xfId="60"/>
    <cellStyle name="Comma 4" xfId="61"/>
    <cellStyle name="Comma 4 2" xfId="62"/>
    <cellStyle name="Comma 4 2 2" xfId="63"/>
    <cellStyle name="Comma 5" xfId="64"/>
    <cellStyle name="Comma 5 2" xfId="65"/>
    <cellStyle name="Comma 5 3" xfId="66"/>
    <cellStyle name="Comma 6" xfId="67"/>
    <cellStyle name="Comma 6 2" xfId="68"/>
    <cellStyle name="Comma 7" xfId="69"/>
    <cellStyle name="Comma 8" xfId="70"/>
    <cellStyle name="Comma 8 2" xfId="71"/>
    <cellStyle name="Comma 9" xfId="72"/>
    <cellStyle name="Currency [0] 2" xfId="73"/>
    <cellStyle name="Currency [0] 2 2" xfId="74"/>
    <cellStyle name="Currency [0] 2 3" xfId="75"/>
    <cellStyle name="Currency [0] 3" xfId="76"/>
    <cellStyle name="Currency 2" xfId="77"/>
    <cellStyle name="Currency 3" xfId="124"/>
    <cellStyle name="Excel Built-in Comma" xfId="78"/>
    <cellStyle name="Excel Built-in Normal" xfId="79"/>
    <cellStyle name="Explanatory Text" xfId="80" builtinId="53" customBuiltin="1"/>
    <cellStyle name="Good" xfId="81" builtinId="26" customBuiltin="1"/>
    <cellStyle name="Heading 1" xfId="82" builtinId="16" customBuiltin="1"/>
    <cellStyle name="Heading 2" xfId="83" builtinId="17" customBuiltin="1"/>
    <cellStyle name="Heading 3" xfId="84" builtinId="18" customBuiltin="1"/>
    <cellStyle name="Heading 4" xfId="85" builtinId="19" customBuiltin="1"/>
    <cellStyle name="Input" xfId="86" builtinId="20" customBuiltin="1"/>
    <cellStyle name="Linked Cell" xfId="87" builtinId="24" customBuiltin="1"/>
    <cellStyle name="Neutral" xfId="88" builtinId="28" customBuiltin="1"/>
    <cellStyle name="Normal" xfId="0" builtinId="0"/>
    <cellStyle name="Normal 10" xfId="89"/>
    <cellStyle name="Normal 11" xfId="90"/>
    <cellStyle name="Normal 11 2" xfId="91"/>
    <cellStyle name="Normal 12" xfId="123"/>
    <cellStyle name="Normal 13" xfId="128"/>
    <cellStyle name="Normal 14" xfId="129"/>
    <cellStyle name="Normal 2" xfId="92"/>
    <cellStyle name="Normal 2 2" xfId="93"/>
    <cellStyle name="Normal 2 3" xfId="94"/>
    <cellStyle name="Normal 2 3 2" xfId="95"/>
    <cellStyle name="Normal 2 3 3" xfId="96"/>
    <cellStyle name="Normal 2 4" xfId="97"/>
    <cellStyle name="Normal 2 5" xfId="98"/>
    <cellStyle name="Normal 2_DPA RKA PENTA 2012 copyan" xfId="99"/>
    <cellStyle name="Normal 3" xfId="100"/>
    <cellStyle name="Normal 3 2" xfId="127"/>
    <cellStyle name="Normal 4" xfId="101"/>
    <cellStyle name="Normal 4 2" xfId="102"/>
    <cellStyle name="Normal 4 2 2" xfId="103"/>
    <cellStyle name="Normal 5" xfId="104"/>
    <cellStyle name="Normal 5 1" xfId="105"/>
    <cellStyle name="Normal 5 2" xfId="106"/>
    <cellStyle name="Normal 5 3" xfId="107"/>
    <cellStyle name="Normal 5 4" xfId="108"/>
    <cellStyle name="Normal 6" xfId="109"/>
    <cellStyle name="Normal 7" xfId="110"/>
    <cellStyle name="Normal 8" xfId="111"/>
    <cellStyle name="Normal 8 2" xfId="112"/>
    <cellStyle name="Normal 8 3" xfId="113"/>
    <cellStyle name="Normal 9" xfId="114"/>
    <cellStyle name="Normal_DPA- 2012 2 2" xfId="115"/>
    <cellStyle name="Note" xfId="116" builtinId="10" customBuiltin="1"/>
    <cellStyle name="Output" xfId="117" builtinId="21" customBuiltin="1"/>
    <cellStyle name="Percent 2" xfId="118"/>
    <cellStyle name="Percent 3" xfId="119"/>
    <cellStyle name="Title" xfId="120" builtinId="15" customBuiltin="1"/>
    <cellStyle name="Total" xfId="121" builtinId="25" customBuiltin="1"/>
    <cellStyle name="Warning Text" xfId="122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NUL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0</xdr:row>
      <xdr:rowOff>333375</xdr:rowOff>
    </xdr:from>
    <xdr:to>
      <xdr:col>7</xdr:col>
      <xdr:colOff>57150</xdr:colOff>
      <xdr:row>5</xdr:row>
      <xdr:rowOff>95250</xdr:rowOff>
    </xdr:to>
    <xdr:pic>
      <xdr:nvPicPr>
        <xdr:cNvPr id="2" name="Picture -7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0" y="333375"/>
          <a:ext cx="102870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0</xdr:row>
      <xdr:rowOff>333375</xdr:rowOff>
    </xdr:from>
    <xdr:to>
      <xdr:col>7</xdr:col>
      <xdr:colOff>57150</xdr:colOff>
      <xdr:row>5</xdr:row>
      <xdr:rowOff>95250</xdr:rowOff>
    </xdr:to>
    <xdr:pic>
      <xdr:nvPicPr>
        <xdr:cNvPr id="2" name="Picture -7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0" y="333375"/>
          <a:ext cx="102870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showGridLines="0" showRowColHeaders="0" showZeros="0" showOutlineSymbols="0" topLeftCell="B8271" zoomScaleNormal="65" zoomScaleSheetLayoutView="68"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FF00"/>
  </sheetPr>
  <dimension ref="A1:J674"/>
  <sheetViews>
    <sheetView zoomScaleSheetLayoutView="115" workbookViewId="0">
      <selection activeCell="C6" sqref="C6:C7"/>
    </sheetView>
  </sheetViews>
  <sheetFormatPr defaultRowHeight="15"/>
  <cols>
    <col min="1" max="1" width="5.85546875" style="96" customWidth="1"/>
    <col min="2" max="2" width="18.42578125" style="96" customWidth="1"/>
    <col min="3" max="3" width="48" style="96" customWidth="1"/>
    <col min="4" max="4" width="17.140625" style="96" customWidth="1"/>
    <col min="5" max="5" width="16.42578125" style="96" customWidth="1"/>
    <col min="6" max="6" width="14.5703125" style="96" customWidth="1"/>
    <col min="7" max="7" width="16.5703125" style="96" hidden="1" customWidth="1"/>
    <col min="8" max="8" width="8.7109375" style="96" hidden="1" customWidth="1"/>
    <col min="9" max="9" width="16" style="96" hidden="1" customWidth="1"/>
    <col min="10" max="10" width="9.5703125" style="96" hidden="1" customWidth="1"/>
    <col min="11" max="16384" width="9.140625" style="96"/>
  </cols>
  <sheetData>
    <row r="1" spans="1:10" ht="21">
      <c r="A1" s="164" t="s">
        <v>1572</v>
      </c>
      <c r="B1" s="164"/>
      <c r="C1" s="164"/>
      <c r="D1" s="164"/>
      <c r="E1" s="164"/>
      <c r="F1" s="164"/>
      <c r="G1" s="164"/>
      <c r="H1" s="164"/>
      <c r="I1" s="164"/>
      <c r="J1" s="164"/>
    </row>
    <row r="2" spans="1:10" ht="21">
      <c r="A2" s="164" t="s">
        <v>1573</v>
      </c>
      <c r="B2" s="164"/>
      <c r="C2" s="164"/>
      <c r="D2" s="164"/>
      <c r="E2" s="164"/>
      <c r="F2" s="164"/>
      <c r="G2" s="164"/>
      <c r="H2" s="164"/>
      <c r="I2" s="164"/>
      <c r="J2" s="164"/>
    </row>
    <row r="3" spans="1:10" ht="21">
      <c r="A3" s="164"/>
      <c r="B3" s="164"/>
      <c r="C3" s="164"/>
      <c r="D3" s="164"/>
      <c r="E3" s="164"/>
      <c r="F3" s="164"/>
    </row>
    <row r="4" spans="1:10" ht="20.100000000000001" customHeight="1" thickBot="1">
      <c r="B4" s="203"/>
      <c r="C4" s="203"/>
      <c r="D4" s="203"/>
      <c r="E4" s="203"/>
      <c r="F4" s="203"/>
      <c r="G4" s="203"/>
      <c r="H4" s="203"/>
      <c r="I4" s="203"/>
      <c r="J4" s="203"/>
    </row>
    <row r="5" spans="1:10" ht="45.75" customHeight="1">
      <c r="A5" s="170" t="s">
        <v>21</v>
      </c>
      <c r="B5" s="171" t="s">
        <v>892</v>
      </c>
      <c r="C5" s="172" t="s">
        <v>23</v>
      </c>
      <c r="D5" s="172" t="s">
        <v>893</v>
      </c>
      <c r="E5" s="172" t="s">
        <v>1549</v>
      </c>
      <c r="F5" s="173" t="s">
        <v>1548</v>
      </c>
      <c r="G5" s="204" t="s">
        <v>1574</v>
      </c>
      <c r="H5" s="204"/>
      <c r="I5" s="204"/>
      <c r="J5" s="205"/>
    </row>
    <row r="6" spans="1:10" ht="47.25" customHeight="1">
      <c r="A6" s="206">
        <v>1</v>
      </c>
      <c r="B6" s="208">
        <v>2</v>
      </c>
      <c r="C6" s="210">
        <v>3</v>
      </c>
      <c r="D6" s="210">
        <v>4</v>
      </c>
      <c r="E6" s="210">
        <v>5</v>
      </c>
      <c r="F6" s="212" t="s">
        <v>30</v>
      </c>
      <c r="G6" s="166" t="s">
        <v>1575</v>
      </c>
      <c r="H6" s="123" t="s">
        <v>26</v>
      </c>
      <c r="I6" s="123" t="s">
        <v>894</v>
      </c>
      <c r="J6" s="123" t="s">
        <v>26</v>
      </c>
    </row>
    <row r="7" spans="1:10" ht="34.5" customHeight="1">
      <c r="A7" s="207"/>
      <c r="B7" s="209"/>
      <c r="C7" s="211"/>
      <c r="D7" s="211"/>
      <c r="E7" s="211"/>
      <c r="F7" s="213"/>
      <c r="G7" s="166">
        <v>7</v>
      </c>
      <c r="H7" s="122" t="s">
        <v>1550</v>
      </c>
      <c r="I7" s="122" t="s">
        <v>1551</v>
      </c>
      <c r="J7" s="122" t="s">
        <v>1552</v>
      </c>
    </row>
    <row r="8" spans="1:10" ht="20.100000000000001" customHeight="1">
      <c r="A8" s="174" t="s">
        <v>79</v>
      </c>
      <c r="B8" s="124" t="s">
        <v>895</v>
      </c>
      <c r="C8" s="98" t="s">
        <v>896</v>
      </c>
      <c r="D8" s="99">
        <v>33000000</v>
      </c>
      <c r="E8" s="99">
        <f>E9</f>
        <v>170500000</v>
      </c>
      <c r="F8" s="175">
        <f>D8-E8</f>
        <v>-137500000</v>
      </c>
      <c r="G8" s="167">
        <f>G9</f>
        <v>56745500</v>
      </c>
      <c r="H8" s="101">
        <f>G8/E8*100</f>
        <v>33.281818181818181</v>
      </c>
      <c r="I8" s="101">
        <f>E8-G8</f>
        <v>113754500</v>
      </c>
      <c r="J8" s="101">
        <f>I8/E8*100</f>
        <v>66.718181818181819</v>
      </c>
    </row>
    <row r="9" spans="1:10" ht="20.100000000000001" customHeight="1">
      <c r="A9" s="174"/>
      <c r="B9" s="124" t="s">
        <v>897</v>
      </c>
      <c r="C9" s="98" t="s">
        <v>898</v>
      </c>
      <c r="D9" s="99">
        <f>D10</f>
        <v>33000000</v>
      </c>
      <c r="E9" s="99">
        <f>E10+E13</f>
        <v>170500000</v>
      </c>
      <c r="F9" s="175">
        <f t="shared" ref="F9:G74" si="0">D9-E9</f>
        <v>-137500000</v>
      </c>
      <c r="G9" s="167">
        <f>'rekap REALISASI REKO '!AQ11</f>
        <v>56745500</v>
      </c>
      <c r="H9" s="101">
        <f>G9/E9*100</f>
        <v>33.281818181818181</v>
      </c>
      <c r="I9" s="101">
        <f>E9-G9</f>
        <v>113754500</v>
      </c>
      <c r="J9" s="101">
        <f t="shared" ref="H9:J73" si="1">I9/E9*100</f>
        <v>66.718181818181819</v>
      </c>
    </row>
    <row r="10" spans="1:10" ht="20.100000000000001" hidden="1" customHeight="1">
      <c r="A10" s="174"/>
      <c r="B10" s="125" t="s">
        <v>899</v>
      </c>
      <c r="C10" s="103" t="s">
        <v>74</v>
      </c>
      <c r="D10" s="104">
        <v>33000000</v>
      </c>
      <c r="E10" s="104">
        <v>33000000</v>
      </c>
      <c r="F10" s="175">
        <f t="shared" si="0"/>
        <v>0</v>
      </c>
      <c r="G10" s="167">
        <f t="shared" si="0"/>
        <v>33000000</v>
      </c>
      <c r="H10" s="101" t="e">
        <f t="shared" si="1"/>
        <v>#VALUE!</v>
      </c>
      <c r="I10" s="101">
        <f t="shared" ref="I10:I31" si="2">F10-G10</f>
        <v>-33000000</v>
      </c>
      <c r="J10" s="101">
        <f t="shared" si="1"/>
        <v>-100</v>
      </c>
    </row>
    <row r="11" spans="1:10" ht="20.100000000000001" hidden="1" customHeight="1">
      <c r="A11" s="174"/>
      <c r="B11" s="125" t="s">
        <v>900</v>
      </c>
      <c r="C11" s="103" t="s">
        <v>901</v>
      </c>
      <c r="D11" s="104">
        <v>33000000</v>
      </c>
      <c r="E11" s="104">
        <v>33000000</v>
      </c>
      <c r="F11" s="175">
        <f t="shared" si="0"/>
        <v>0</v>
      </c>
      <c r="G11" s="167">
        <f t="shared" si="0"/>
        <v>33000000</v>
      </c>
      <c r="H11" s="101" t="e">
        <f t="shared" si="1"/>
        <v>#VALUE!</v>
      </c>
      <c r="I11" s="101">
        <f t="shared" si="2"/>
        <v>-33000000</v>
      </c>
      <c r="J11" s="101">
        <f t="shared" si="1"/>
        <v>-100</v>
      </c>
    </row>
    <row r="12" spans="1:10" ht="20.100000000000001" hidden="1" customHeight="1">
      <c r="A12" s="174"/>
      <c r="B12" s="125" t="s">
        <v>902</v>
      </c>
      <c r="C12" s="103" t="s">
        <v>76</v>
      </c>
      <c r="D12" s="104">
        <v>33000000</v>
      </c>
      <c r="E12" s="104">
        <v>33000000</v>
      </c>
      <c r="F12" s="175">
        <f t="shared" si="0"/>
        <v>0</v>
      </c>
      <c r="G12" s="167">
        <f t="shared" si="0"/>
        <v>33000000</v>
      </c>
      <c r="H12" s="101" t="e">
        <f t="shared" si="1"/>
        <v>#VALUE!</v>
      </c>
      <c r="I12" s="101">
        <f t="shared" si="2"/>
        <v>-33000000</v>
      </c>
      <c r="J12" s="101">
        <f t="shared" si="1"/>
        <v>-100</v>
      </c>
    </row>
    <row r="13" spans="1:10" ht="44.25" hidden="1" customHeight="1">
      <c r="A13" s="174"/>
      <c r="B13" s="125" t="s">
        <v>903</v>
      </c>
      <c r="C13" s="103" t="s">
        <v>904</v>
      </c>
      <c r="D13" s="104">
        <v>0</v>
      </c>
      <c r="E13" s="104">
        <v>137500000</v>
      </c>
      <c r="F13" s="175">
        <f t="shared" si="0"/>
        <v>-137500000</v>
      </c>
      <c r="G13" s="167">
        <f t="shared" si="0"/>
        <v>275000000</v>
      </c>
      <c r="H13" s="101" t="e">
        <f t="shared" si="1"/>
        <v>#VALUE!</v>
      </c>
      <c r="I13" s="101">
        <f t="shared" si="2"/>
        <v>-412500000</v>
      </c>
      <c r="J13" s="101">
        <f t="shared" si="1"/>
        <v>-300</v>
      </c>
    </row>
    <row r="14" spans="1:10" ht="20.100000000000001" customHeight="1">
      <c r="A14" s="174"/>
      <c r="B14" s="124"/>
      <c r="C14" s="98"/>
      <c r="D14" s="99"/>
      <c r="E14" s="99"/>
      <c r="F14" s="175"/>
      <c r="G14" s="167"/>
      <c r="H14" s="101"/>
      <c r="I14" s="101"/>
      <c r="J14" s="101"/>
    </row>
    <row r="15" spans="1:10" ht="20.100000000000001" customHeight="1">
      <c r="A15" s="174" t="s">
        <v>136</v>
      </c>
      <c r="B15" s="124" t="s">
        <v>905</v>
      </c>
      <c r="C15" s="98" t="s">
        <v>9</v>
      </c>
      <c r="D15" s="99">
        <v>6341834000</v>
      </c>
      <c r="E15" s="99">
        <v>6048349000</v>
      </c>
      <c r="F15" s="175">
        <f t="shared" si="0"/>
        <v>293485000</v>
      </c>
      <c r="G15" s="167">
        <f>'rekap REALISASI REKO '!AQ15</f>
        <v>5537071836</v>
      </c>
      <c r="H15" s="101">
        <f>G15/E15*100</f>
        <v>91.546830978172721</v>
      </c>
      <c r="I15" s="101">
        <f>E15-G15</f>
        <v>511277164</v>
      </c>
      <c r="J15" s="101">
        <f t="shared" si="1"/>
        <v>8.4531690218272786</v>
      </c>
    </row>
    <row r="16" spans="1:10" ht="20.100000000000001" hidden="1" customHeight="1">
      <c r="A16" s="174"/>
      <c r="B16" s="125" t="s">
        <v>906</v>
      </c>
      <c r="C16" s="103" t="s">
        <v>10</v>
      </c>
      <c r="D16" s="104">
        <f>D17+D28+D30</f>
        <v>6341834000</v>
      </c>
      <c r="E16" s="104">
        <v>6341834000</v>
      </c>
      <c r="F16" s="175">
        <f t="shared" si="0"/>
        <v>0</v>
      </c>
      <c r="G16" s="167">
        <f t="shared" si="0"/>
        <v>6341834000</v>
      </c>
      <c r="H16" s="101" t="e">
        <f t="shared" si="1"/>
        <v>#VALUE!</v>
      </c>
      <c r="I16" s="101">
        <f t="shared" si="2"/>
        <v>-6341834000</v>
      </c>
      <c r="J16" s="101">
        <f t="shared" si="1"/>
        <v>-100</v>
      </c>
    </row>
    <row r="17" spans="1:10" ht="20.100000000000001" hidden="1" customHeight="1">
      <c r="A17" s="174"/>
      <c r="B17" s="125" t="s">
        <v>907</v>
      </c>
      <c r="C17" s="103" t="s">
        <v>25</v>
      </c>
      <c r="D17" s="104">
        <f>SUM(D18:D27)</f>
        <v>5314124000</v>
      </c>
      <c r="E17" s="104">
        <v>5314124000</v>
      </c>
      <c r="F17" s="175">
        <f t="shared" si="0"/>
        <v>0</v>
      </c>
      <c r="G17" s="167">
        <f t="shared" si="0"/>
        <v>5314124000</v>
      </c>
      <c r="H17" s="101" t="e">
        <f t="shared" si="1"/>
        <v>#VALUE!</v>
      </c>
      <c r="I17" s="101">
        <f t="shared" si="2"/>
        <v>-5314124000</v>
      </c>
      <c r="J17" s="101">
        <f t="shared" si="1"/>
        <v>-100</v>
      </c>
    </row>
    <row r="18" spans="1:10" ht="20.100000000000001" hidden="1" customHeight="1">
      <c r="A18" s="174"/>
      <c r="B18" s="125" t="s">
        <v>908</v>
      </c>
      <c r="C18" s="103" t="s">
        <v>27</v>
      </c>
      <c r="D18" s="104">
        <v>4097850000</v>
      </c>
      <c r="E18" s="104">
        <v>4097850000</v>
      </c>
      <c r="F18" s="175">
        <f t="shared" si="0"/>
        <v>0</v>
      </c>
      <c r="G18" s="167">
        <f t="shared" si="0"/>
        <v>4097850000</v>
      </c>
      <c r="H18" s="101" t="e">
        <f t="shared" si="1"/>
        <v>#VALUE!</v>
      </c>
      <c r="I18" s="101">
        <f t="shared" si="2"/>
        <v>-4097850000</v>
      </c>
      <c r="J18" s="101">
        <f t="shared" si="1"/>
        <v>-100</v>
      </c>
    </row>
    <row r="19" spans="1:10" ht="20.100000000000001" hidden="1" customHeight="1">
      <c r="A19" s="174"/>
      <c r="B19" s="125" t="s">
        <v>909</v>
      </c>
      <c r="C19" s="103" t="s">
        <v>84</v>
      </c>
      <c r="D19" s="104">
        <v>400368000</v>
      </c>
      <c r="E19" s="104">
        <v>400368000</v>
      </c>
      <c r="F19" s="175">
        <f t="shared" si="0"/>
        <v>0</v>
      </c>
      <c r="G19" s="167">
        <f t="shared" si="0"/>
        <v>400368000</v>
      </c>
      <c r="H19" s="101" t="e">
        <f t="shared" si="1"/>
        <v>#VALUE!</v>
      </c>
      <c r="I19" s="101">
        <f t="shared" si="2"/>
        <v>-400368000</v>
      </c>
      <c r="J19" s="101">
        <f t="shared" si="1"/>
        <v>-100</v>
      </c>
    </row>
    <row r="20" spans="1:10" ht="20.100000000000001" hidden="1" customHeight="1">
      <c r="A20" s="174"/>
      <c r="B20" s="125" t="s">
        <v>910</v>
      </c>
      <c r="C20" s="103" t="s">
        <v>911</v>
      </c>
      <c r="D20" s="104">
        <v>178091000</v>
      </c>
      <c r="E20" s="104">
        <v>178091000</v>
      </c>
      <c r="F20" s="175">
        <f t="shared" si="0"/>
        <v>0</v>
      </c>
      <c r="G20" s="167">
        <f t="shared" si="0"/>
        <v>178091000</v>
      </c>
      <c r="H20" s="101" t="e">
        <f t="shared" si="1"/>
        <v>#VALUE!</v>
      </c>
      <c r="I20" s="101">
        <f t="shared" si="2"/>
        <v>-178091000</v>
      </c>
      <c r="J20" s="101">
        <f t="shared" si="1"/>
        <v>-100</v>
      </c>
    </row>
    <row r="21" spans="1:10" ht="20.100000000000001" hidden="1" customHeight="1">
      <c r="A21" s="174"/>
      <c r="B21" s="125" t="s">
        <v>912</v>
      </c>
      <c r="C21" s="103" t="s">
        <v>88</v>
      </c>
      <c r="D21" s="104">
        <v>245299000</v>
      </c>
      <c r="E21" s="104">
        <v>245299000</v>
      </c>
      <c r="F21" s="175">
        <f t="shared" si="0"/>
        <v>0</v>
      </c>
      <c r="G21" s="167">
        <f t="shared" si="0"/>
        <v>245299000</v>
      </c>
      <c r="H21" s="101" t="e">
        <f t="shared" si="1"/>
        <v>#VALUE!</v>
      </c>
      <c r="I21" s="101">
        <f t="shared" si="2"/>
        <v>-245299000</v>
      </c>
      <c r="J21" s="101">
        <f t="shared" si="1"/>
        <v>-100</v>
      </c>
    </row>
    <row r="22" spans="1:10" ht="20.100000000000001" hidden="1" customHeight="1">
      <c r="A22" s="174"/>
      <c r="B22" s="125" t="s">
        <v>913</v>
      </c>
      <c r="C22" s="103" t="s">
        <v>11</v>
      </c>
      <c r="D22" s="104">
        <v>52496000</v>
      </c>
      <c r="E22" s="104">
        <v>52496000</v>
      </c>
      <c r="F22" s="175">
        <f t="shared" si="0"/>
        <v>0</v>
      </c>
      <c r="G22" s="167">
        <f t="shared" si="0"/>
        <v>52496000</v>
      </c>
      <c r="H22" s="101" t="e">
        <f t="shared" si="1"/>
        <v>#VALUE!</v>
      </c>
      <c r="I22" s="101">
        <f t="shared" si="2"/>
        <v>-52496000</v>
      </c>
      <c r="J22" s="101">
        <f t="shared" si="1"/>
        <v>-100</v>
      </c>
    </row>
    <row r="23" spans="1:10" ht="20.100000000000001" hidden="1" customHeight="1">
      <c r="A23" s="174"/>
      <c r="B23" s="125" t="s">
        <v>914</v>
      </c>
      <c r="C23" s="103" t="s">
        <v>915</v>
      </c>
      <c r="D23" s="104">
        <v>173808000</v>
      </c>
      <c r="E23" s="104">
        <v>173808000</v>
      </c>
      <c r="F23" s="175">
        <f t="shared" si="0"/>
        <v>0</v>
      </c>
      <c r="G23" s="167">
        <f t="shared" si="0"/>
        <v>173808000</v>
      </c>
      <c r="H23" s="101" t="e">
        <f t="shared" si="1"/>
        <v>#VALUE!</v>
      </c>
      <c r="I23" s="101">
        <f t="shared" si="2"/>
        <v>-173808000</v>
      </c>
      <c r="J23" s="101">
        <f t="shared" si="1"/>
        <v>-100</v>
      </c>
    </row>
    <row r="24" spans="1:10" ht="20.100000000000001" hidden="1" customHeight="1">
      <c r="A24" s="174"/>
      <c r="B24" s="125" t="s">
        <v>916</v>
      </c>
      <c r="C24" s="103" t="s">
        <v>93</v>
      </c>
      <c r="D24" s="104">
        <v>22817000</v>
      </c>
      <c r="E24" s="104">
        <v>22817000</v>
      </c>
      <c r="F24" s="175">
        <f t="shared" si="0"/>
        <v>0</v>
      </c>
      <c r="G24" s="167">
        <f t="shared" si="0"/>
        <v>22817000</v>
      </c>
      <c r="H24" s="101" t="e">
        <f t="shared" si="1"/>
        <v>#VALUE!</v>
      </c>
      <c r="I24" s="101">
        <f t="shared" si="2"/>
        <v>-22817000</v>
      </c>
      <c r="J24" s="101">
        <f t="shared" si="1"/>
        <v>-100</v>
      </c>
    </row>
    <row r="25" spans="1:10" ht="20.100000000000001" hidden="1" customHeight="1">
      <c r="A25" s="174"/>
      <c r="B25" s="125" t="s">
        <v>917</v>
      </c>
      <c r="C25" s="103" t="s">
        <v>95</v>
      </c>
      <c r="D25" s="104">
        <v>70000</v>
      </c>
      <c r="E25" s="104">
        <v>70000</v>
      </c>
      <c r="F25" s="175">
        <f t="shared" si="0"/>
        <v>0</v>
      </c>
      <c r="G25" s="167">
        <f t="shared" si="0"/>
        <v>70000</v>
      </c>
      <c r="H25" s="101" t="e">
        <f t="shared" si="1"/>
        <v>#VALUE!</v>
      </c>
      <c r="I25" s="101">
        <f t="shared" si="2"/>
        <v>-70000</v>
      </c>
      <c r="J25" s="101">
        <f t="shared" si="1"/>
        <v>-100</v>
      </c>
    </row>
    <row r="26" spans="1:10" ht="20.100000000000001" hidden="1" customHeight="1">
      <c r="A26" s="174"/>
      <c r="B26" s="125" t="s">
        <v>918</v>
      </c>
      <c r="C26" s="103" t="s">
        <v>28</v>
      </c>
      <c r="D26" s="104">
        <v>111998000</v>
      </c>
      <c r="E26" s="104">
        <v>111998000</v>
      </c>
      <c r="F26" s="175">
        <f t="shared" si="0"/>
        <v>0</v>
      </c>
      <c r="G26" s="167">
        <f t="shared" si="0"/>
        <v>111998000</v>
      </c>
      <c r="H26" s="101" t="e">
        <f t="shared" si="1"/>
        <v>#VALUE!</v>
      </c>
      <c r="I26" s="101">
        <f t="shared" si="2"/>
        <v>-111998000</v>
      </c>
      <c r="J26" s="101">
        <f t="shared" si="1"/>
        <v>-100</v>
      </c>
    </row>
    <row r="27" spans="1:10" ht="20.100000000000001" hidden="1" customHeight="1">
      <c r="A27" s="174"/>
      <c r="B27" s="125" t="s">
        <v>919</v>
      </c>
      <c r="C27" s="103" t="s">
        <v>38</v>
      </c>
      <c r="D27" s="104">
        <v>31327000</v>
      </c>
      <c r="E27" s="104">
        <v>31327000</v>
      </c>
      <c r="F27" s="175">
        <f t="shared" si="0"/>
        <v>0</v>
      </c>
      <c r="G27" s="167">
        <f t="shared" si="0"/>
        <v>31327000</v>
      </c>
      <c r="H27" s="101" t="e">
        <f t="shared" si="1"/>
        <v>#VALUE!</v>
      </c>
      <c r="I27" s="101">
        <f t="shared" si="2"/>
        <v>-31327000</v>
      </c>
      <c r="J27" s="101">
        <f t="shared" si="1"/>
        <v>-100</v>
      </c>
    </row>
    <row r="28" spans="1:10" ht="20.100000000000001" hidden="1" customHeight="1">
      <c r="A28" s="174"/>
      <c r="B28" s="125" t="s">
        <v>920</v>
      </c>
      <c r="C28" s="103" t="s">
        <v>99</v>
      </c>
      <c r="D28" s="104">
        <f>D29</f>
        <v>1026060000</v>
      </c>
      <c r="E28" s="104">
        <v>1026060000</v>
      </c>
      <c r="F28" s="175">
        <f t="shared" si="0"/>
        <v>0</v>
      </c>
      <c r="G28" s="167">
        <f t="shared" si="0"/>
        <v>1026060000</v>
      </c>
      <c r="H28" s="101" t="e">
        <f t="shared" si="1"/>
        <v>#VALUE!</v>
      </c>
      <c r="I28" s="101">
        <f t="shared" si="2"/>
        <v>-1026060000</v>
      </c>
      <c r="J28" s="101">
        <f t="shared" si="1"/>
        <v>-100</v>
      </c>
    </row>
    <row r="29" spans="1:10" ht="20.100000000000001" hidden="1" customHeight="1">
      <c r="A29" s="174"/>
      <c r="B29" s="125" t="s">
        <v>921</v>
      </c>
      <c r="C29" s="103" t="s">
        <v>101</v>
      </c>
      <c r="D29" s="104">
        <v>1026060000</v>
      </c>
      <c r="E29" s="104">
        <v>1026060000</v>
      </c>
      <c r="F29" s="175">
        <f t="shared" si="0"/>
        <v>0</v>
      </c>
      <c r="G29" s="167">
        <f t="shared" si="0"/>
        <v>1026060000</v>
      </c>
      <c r="H29" s="101" t="e">
        <f t="shared" si="1"/>
        <v>#VALUE!</v>
      </c>
      <c r="I29" s="101">
        <f t="shared" si="2"/>
        <v>-1026060000</v>
      </c>
      <c r="J29" s="101">
        <f t="shared" si="1"/>
        <v>-100</v>
      </c>
    </row>
    <row r="30" spans="1:10" ht="20.100000000000001" hidden="1" customHeight="1">
      <c r="A30" s="174"/>
      <c r="B30" s="125" t="s">
        <v>922</v>
      </c>
      <c r="C30" s="103" t="s">
        <v>12</v>
      </c>
      <c r="D30" s="104">
        <f>D31</f>
        <v>1650000</v>
      </c>
      <c r="E30" s="104">
        <v>1650000</v>
      </c>
      <c r="F30" s="175">
        <f t="shared" si="0"/>
        <v>0</v>
      </c>
      <c r="G30" s="167">
        <f t="shared" si="0"/>
        <v>1650000</v>
      </c>
      <c r="H30" s="101" t="e">
        <f t="shared" si="1"/>
        <v>#VALUE!</v>
      </c>
      <c r="I30" s="101">
        <f t="shared" si="2"/>
        <v>-1650000</v>
      </c>
      <c r="J30" s="101">
        <f t="shared" si="1"/>
        <v>-100</v>
      </c>
    </row>
    <row r="31" spans="1:10" ht="20.100000000000001" hidden="1" customHeight="1">
      <c r="A31" s="174"/>
      <c r="B31" s="125" t="s">
        <v>923</v>
      </c>
      <c r="C31" s="103" t="s">
        <v>924</v>
      </c>
      <c r="D31" s="104">
        <v>1650000</v>
      </c>
      <c r="E31" s="104">
        <v>1650000</v>
      </c>
      <c r="F31" s="175">
        <f t="shared" si="0"/>
        <v>0</v>
      </c>
      <c r="G31" s="167">
        <f t="shared" si="0"/>
        <v>1650000</v>
      </c>
      <c r="H31" s="101" t="e">
        <f t="shared" si="1"/>
        <v>#VALUE!</v>
      </c>
      <c r="I31" s="101">
        <f t="shared" si="2"/>
        <v>-1650000</v>
      </c>
      <c r="J31" s="101">
        <f t="shared" si="1"/>
        <v>-100</v>
      </c>
    </row>
    <row r="32" spans="1:10" ht="20.100000000000001" customHeight="1">
      <c r="A32" s="174"/>
      <c r="B32" s="125"/>
      <c r="C32" s="103"/>
      <c r="D32" s="104"/>
      <c r="E32" s="104"/>
      <c r="F32" s="175"/>
      <c r="G32" s="167"/>
      <c r="H32" s="101"/>
      <c r="I32" s="101"/>
      <c r="J32" s="101"/>
    </row>
    <row r="33" spans="1:10" ht="20.100000000000001" customHeight="1">
      <c r="A33" s="174" t="s">
        <v>925</v>
      </c>
      <c r="B33" s="124" t="s">
        <v>926</v>
      </c>
      <c r="C33" s="98" t="s">
        <v>927</v>
      </c>
      <c r="D33" s="99">
        <f>D34+D86+D118+D135+D152+D211+D344+D468+D490+D514+D604+D643</f>
        <v>5321184000</v>
      </c>
      <c r="E33" s="99">
        <f>'rekap REALISASI REKO '!AB677</f>
        <v>5229995000</v>
      </c>
      <c r="F33" s="175">
        <f t="shared" si="0"/>
        <v>91189000</v>
      </c>
      <c r="G33" s="167">
        <f>'rekap REALISASI REKO '!AQ33</f>
        <v>4440396483</v>
      </c>
      <c r="H33" s="101">
        <f>G33/E33*100</f>
        <v>84.902499581739562</v>
      </c>
      <c r="I33" s="101">
        <f>E33-G33</f>
        <v>789598517</v>
      </c>
      <c r="J33" s="101">
        <f t="shared" si="1"/>
        <v>15.097500418260438</v>
      </c>
    </row>
    <row r="34" spans="1:10" ht="20.100000000000001" customHeight="1">
      <c r="A34" s="176" t="s">
        <v>138</v>
      </c>
      <c r="B34" s="106" t="s">
        <v>928</v>
      </c>
      <c r="C34" s="107" t="s">
        <v>140</v>
      </c>
      <c r="D34" s="108">
        <f>D35+D43+D52+D66+D75</f>
        <v>386568000</v>
      </c>
      <c r="E34" s="108">
        <f>E35+E43+E52+E66+E75</f>
        <v>403500000</v>
      </c>
      <c r="F34" s="177">
        <f t="shared" si="0"/>
        <v>-16932000</v>
      </c>
      <c r="G34" s="168">
        <f>G35+G43+G52+G66+G75</f>
        <v>329339893</v>
      </c>
      <c r="H34" s="110">
        <f>G34/E34*100</f>
        <v>81.620791325898395</v>
      </c>
      <c r="I34" s="108">
        <f>I35+I43+I52+I66+I75</f>
        <v>74160107</v>
      </c>
      <c r="J34" s="110">
        <f t="shared" si="1"/>
        <v>18.379208674101612</v>
      </c>
    </row>
    <row r="35" spans="1:10" ht="18.75" customHeight="1">
      <c r="A35" s="178">
        <v>1</v>
      </c>
      <c r="B35" s="193" t="s">
        <v>929</v>
      </c>
      <c r="C35" s="195" t="s">
        <v>0</v>
      </c>
      <c r="D35" s="197">
        <f>SUM(D37:D42)</f>
        <v>25387000</v>
      </c>
      <c r="E35" s="197">
        <f>'rekap REALISASI REKO '!AB35</f>
        <v>40000000</v>
      </c>
      <c r="F35" s="199">
        <f>D35-E35</f>
        <v>-14613000</v>
      </c>
      <c r="G35" s="201">
        <f>'rekap REALISASI REKO '!AQ35</f>
        <v>39979550</v>
      </c>
      <c r="H35" s="214">
        <f>G35/E35*100</f>
        <v>99.948875000000001</v>
      </c>
      <c r="I35" s="214">
        <f>E35-G35</f>
        <v>20450</v>
      </c>
      <c r="J35" s="214">
        <f>I35/E35*100</f>
        <v>5.1124999999999997E-2</v>
      </c>
    </row>
    <row r="36" spans="1:10" ht="19.5" hidden="1" customHeight="1">
      <c r="A36" s="179"/>
      <c r="B36" s="194"/>
      <c r="C36" s="196"/>
      <c r="D36" s="198"/>
      <c r="E36" s="198"/>
      <c r="F36" s="200"/>
      <c r="G36" s="202"/>
      <c r="H36" s="215"/>
      <c r="I36" s="215"/>
      <c r="J36" s="215"/>
    </row>
    <row r="37" spans="1:10" ht="20.100000000000001" hidden="1" customHeight="1">
      <c r="A37" s="180"/>
      <c r="B37" s="102" t="s">
        <v>930</v>
      </c>
      <c r="C37" s="103" t="s">
        <v>143</v>
      </c>
      <c r="D37" s="104"/>
      <c r="E37" s="104">
        <v>25387000</v>
      </c>
      <c r="F37" s="175">
        <f t="shared" si="0"/>
        <v>-25387000</v>
      </c>
      <c r="G37" s="167">
        <f t="shared" si="0"/>
        <v>50774000</v>
      </c>
      <c r="H37" s="101" t="e">
        <f t="shared" si="1"/>
        <v>#VALUE!</v>
      </c>
      <c r="I37" s="101">
        <f t="shared" ref="I37:I42" si="3">F37-G37</f>
        <v>-76161000</v>
      </c>
      <c r="J37" s="101">
        <f t="shared" si="1"/>
        <v>-300</v>
      </c>
    </row>
    <row r="38" spans="1:10" ht="20.100000000000001" hidden="1" customHeight="1">
      <c r="A38" s="180"/>
      <c r="B38" s="102" t="s">
        <v>931</v>
      </c>
      <c r="C38" s="103" t="s">
        <v>145</v>
      </c>
      <c r="D38" s="104"/>
      <c r="E38" s="104">
        <v>12578000</v>
      </c>
      <c r="F38" s="175">
        <f t="shared" si="0"/>
        <v>-12578000</v>
      </c>
      <c r="G38" s="167">
        <f t="shared" si="0"/>
        <v>25156000</v>
      </c>
      <c r="H38" s="101" t="e">
        <f t="shared" si="1"/>
        <v>#VALUE!</v>
      </c>
      <c r="I38" s="101">
        <f t="shared" si="3"/>
        <v>-37734000</v>
      </c>
      <c r="J38" s="101">
        <f t="shared" si="1"/>
        <v>-300</v>
      </c>
    </row>
    <row r="39" spans="1:10" ht="20.100000000000001" hidden="1" customHeight="1">
      <c r="A39" s="180"/>
      <c r="B39" s="102" t="s">
        <v>932</v>
      </c>
      <c r="C39" s="103" t="s">
        <v>147</v>
      </c>
      <c r="D39" s="104">
        <v>12578000</v>
      </c>
      <c r="E39" s="104">
        <v>12578000</v>
      </c>
      <c r="F39" s="175">
        <f t="shared" si="0"/>
        <v>0</v>
      </c>
      <c r="G39" s="167">
        <f t="shared" si="0"/>
        <v>12578000</v>
      </c>
      <c r="H39" s="101" t="e">
        <f t="shared" si="1"/>
        <v>#VALUE!</v>
      </c>
      <c r="I39" s="101">
        <f t="shared" si="3"/>
        <v>-12578000</v>
      </c>
      <c r="J39" s="101">
        <f t="shared" si="1"/>
        <v>-100</v>
      </c>
    </row>
    <row r="40" spans="1:10" ht="20.100000000000001" hidden="1" customHeight="1">
      <c r="A40" s="180"/>
      <c r="B40" s="102" t="s">
        <v>933</v>
      </c>
      <c r="C40" s="103" t="s">
        <v>151</v>
      </c>
      <c r="D40" s="104"/>
      <c r="E40" s="104">
        <v>12809000</v>
      </c>
      <c r="F40" s="175">
        <f t="shared" si="0"/>
        <v>-12809000</v>
      </c>
      <c r="G40" s="167">
        <f t="shared" si="0"/>
        <v>25618000</v>
      </c>
      <c r="H40" s="101" t="e">
        <f t="shared" si="1"/>
        <v>#VALUE!</v>
      </c>
      <c r="I40" s="101">
        <f t="shared" si="3"/>
        <v>-38427000</v>
      </c>
      <c r="J40" s="101">
        <f t="shared" si="1"/>
        <v>-300</v>
      </c>
    </row>
    <row r="41" spans="1:10" ht="20.100000000000001" hidden="1" customHeight="1">
      <c r="A41" s="180"/>
      <c r="B41" s="102" t="s">
        <v>934</v>
      </c>
      <c r="C41" s="103" t="s">
        <v>153</v>
      </c>
      <c r="D41" s="104">
        <v>4759000</v>
      </c>
      <c r="E41" s="104">
        <v>4759000</v>
      </c>
      <c r="F41" s="175">
        <f t="shared" si="0"/>
        <v>0</v>
      </c>
      <c r="G41" s="167">
        <f t="shared" si="0"/>
        <v>4759000</v>
      </c>
      <c r="H41" s="101" t="e">
        <f t="shared" si="1"/>
        <v>#VALUE!</v>
      </c>
      <c r="I41" s="101">
        <f t="shared" si="3"/>
        <v>-4759000</v>
      </c>
      <c r="J41" s="101">
        <f t="shared" si="1"/>
        <v>-100</v>
      </c>
    </row>
    <row r="42" spans="1:10" ht="20.100000000000001" hidden="1" customHeight="1">
      <c r="A42" s="180"/>
      <c r="B42" s="102" t="s">
        <v>935</v>
      </c>
      <c r="C42" s="103" t="s">
        <v>155</v>
      </c>
      <c r="D42" s="104">
        <v>8050000</v>
      </c>
      <c r="E42" s="104">
        <v>8050000</v>
      </c>
      <c r="F42" s="175">
        <f t="shared" si="0"/>
        <v>0</v>
      </c>
      <c r="G42" s="167">
        <f t="shared" si="0"/>
        <v>8050000</v>
      </c>
      <c r="H42" s="101" t="e">
        <f t="shared" si="1"/>
        <v>#VALUE!</v>
      </c>
      <c r="I42" s="101">
        <f t="shared" si="3"/>
        <v>-8050000</v>
      </c>
      <c r="J42" s="101">
        <f t="shared" si="1"/>
        <v>-100</v>
      </c>
    </row>
    <row r="43" spans="1:10" ht="20.100000000000001" customHeight="1">
      <c r="A43" s="178">
        <v>2</v>
      </c>
      <c r="B43" s="193" t="s">
        <v>936</v>
      </c>
      <c r="C43" s="195" t="s">
        <v>1</v>
      </c>
      <c r="D43" s="197">
        <f>SUM(D47:D51)</f>
        <v>110000000</v>
      </c>
      <c r="E43" s="197">
        <f>'rekap REALISASI REKO '!AB45</f>
        <v>97500000</v>
      </c>
      <c r="F43" s="199">
        <f>D43-E43</f>
        <v>12500000</v>
      </c>
      <c r="G43" s="201">
        <f>'rekap REALISASI REKO '!AQ45</f>
        <v>75145393</v>
      </c>
      <c r="H43" s="214">
        <f>G43/E43*100</f>
        <v>77.072197948717942</v>
      </c>
      <c r="I43" s="214">
        <f>E43-G43</f>
        <v>22354607</v>
      </c>
      <c r="J43" s="214">
        <f>I43/E43*100</f>
        <v>22.92780205128205</v>
      </c>
    </row>
    <row r="44" spans="1:10" ht="13.5" customHeight="1">
      <c r="A44" s="179"/>
      <c r="B44" s="194"/>
      <c r="C44" s="196"/>
      <c r="D44" s="198"/>
      <c r="E44" s="198"/>
      <c r="F44" s="200"/>
      <c r="G44" s="202"/>
      <c r="H44" s="215"/>
      <c r="I44" s="215"/>
      <c r="J44" s="215"/>
    </row>
    <row r="45" spans="1:10" ht="20.100000000000001" hidden="1" customHeight="1">
      <c r="A45" s="180"/>
      <c r="B45" s="102" t="s">
        <v>937</v>
      </c>
      <c r="C45" s="103" t="s">
        <v>143</v>
      </c>
      <c r="D45" s="104"/>
      <c r="E45" s="104">
        <v>110000000</v>
      </c>
      <c r="F45" s="175">
        <f t="shared" si="0"/>
        <v>-110000000</v>
      </c>
      <c r="G45" s="167">
        <f t="shared" si="0"/>
        <v>220000000</v>
      </c>
      <c r="H45" s="101" t="e">
        <f t="shared" si="1"/>
        <v>#VALUE!</v>
      </c>
      <c r="I45" s="101">
        <f t="shared" ref="I45:I51" si="4">F45-G45</f>
        <v>-330000000</v>
      </c>
      <c r="J45" s="101">
        <f t="shared" si="1"/>
        <v>-300</v>
      </c>
    </row>
    <row r="46" spans="1:10" ht="20.100000000000001" hidden="1" customHeight="1">
      <c r="A46" s="180"/>
      <c r="B46" s="102" t="s">
        <v>938</v>
      </c>
      <c r="C46" s="103" t="s">
        <v>163</v>
      </c>
      <c r="D46" s="104"/>
      <c r="E46" s="104">
        <v>110000000</v>
      </c>
      <c r="F46" s="175">
        <f t="shared" si="0"/>
        <v>-110000000</v>
      </c>
      <c r="G46" s="167">
        <f t="shared" si="0"/>
        <v>220000000</v>
      </c>
      <c r="H46" s="101" t="e">
        <f t="shared" si="1"/>
        <v>#VALUE!</v>
      </c>
      <c r="I46" s="101">
        <f t="shared" si="4"/>
        <v>-330000000</v>
      </c>
      <c r="J46" s="101">
        <f t="shared" si="1"/>
        <v>-300</v>
      </c>
    </row>
    <row r="47" spans="1:10" ht="20.100000000000001" hidden="1" customHeight="1">
      <c r="A47" s="180"/>
      <c r="B47" s="102" t="s">
        <v>939</v>
      </c>
      <c r="C47" s="103" t="s">
        <v>165</v>
      </c>
      <c r="D47" s="104">
        <v>14720000</v>
      </c>
      <c r="E47" s="104">
        <v>14720000</v>
      </c>
      <c r="F47" s="175">
        <f t="shared" si="0"/>
        <v>0</v>
      </c>
      <c r="G47" s="167">
        <f t="shared" si="0"/>
        <v>14720000</v>
      </c>
      <c r="H47" s="101" t="e">
        <f t="shared" si="1"/>
        <v>#VALUE!</v>
      </c>
      <c r="I47" s="101">
        <f t="shared" si="4"/>
        <v>-14720000</v>
      </c>
      <c r="J47" s="101">
        <f t="shared" si="1"/>
        <v>-100</v>
      </c>
    </row>
    <row r="48" spans="1:10" ht="20.100000000000001" hidden="1" customHeight="1">
      <c r="A48" s="180"/>
      <c r="B48" s="102" t="s">
        <v>940</v>
      </c>
      <c r="C48" s="103" t="s">
        <v>167</v>
      </c>
      <c r="D48" s="104">
        <v>10800000</v>
      </c>
      <c r="E48" s="104">
        <v>10800000</v>
      </c>
      <c r="F48" s="175">
        <f t="shared" si="0"/>
        <v>0</v>
      </c>
      <c r="G48" s="167">
        <f t="shared" si="0"/>
        <v>10800000</v>
      </c>
      <c r="H48" s="101" t="e">
        <f t="shared" si="1"/>
        <v>#VALUE!</v>
      </c>
      <c r="I48" s="101">
        <f t="shared" si="4"/>
        <v>-10800000</v>
      </c>
      <c r="J48" s="101">
        <f t="shared" si="1"/>
        <v>-100</v>
      </c>
    </row>
    <row r="49" spans="1:10" ht="20.100000000000001" hidden="1" customHeight="1">
      <c r="A49" s="180"/>
      <c r="B49" s="102" t="s">
        <v>941</v>
      </c>
      <c r="C49" s="103" t="s">
        <v>169</v>
      </c>
      <c r="D49" s="104">
        <v>58800000</v>
      </c>
      <c r="E49" s="104">
        <v>58800000</v>
      </c>
      <c r="F49" s="175">
        <f t="shared" si="0"/>
        <v>0</v>
      </c>
      <c r="G49" s="167">
        <f t="shared" si="0"/>
        <v>58800000</v>
      </c>
      <c r="H49" s="101" t="e">
        <f t="shared" si="1"/>
        <v>#VALUE!</v>
      </c>
      <c r="I49" s="101">
        <f t="shared" si="4"/>
        <v>-58800000</v>
      </c>
      <c r="J49" s="101">
        <f t="shared" si="1"/>
        <v>-100</v>
      </c>
    </row>
    <row r="50" spans="1:10" ht="20.100000000000001" hidden="1" customHeight="1">
      <c r="A50" s="180"/>
      <c r="B50" s="102" t="s">
        <v>942</v>
      </c>
      <c r="C50" s="103" t="s">
        <v>171</v>
      </c>
      <c r="D50" s="104">
        <v>2880000</v>
      </c>
      <c r="E50" s="104">
        <v>2880000</v>
      </c>
      <c r="F50" s="175">
        <f t="shared" si="0"/>
        <v>0</v>
      </c>
      <c r="G50" s="167">
        <f t="shared" si="0"/>
        <v>2880000</v>
      </c>
      <c r="H50" s="101" t="e">
        <f t="shared" si="1"/>
        <v>#VALUE!</v>
      </c>
      <c r="I50" s="101">
        <f t="shared" si="4"/>
        <v>-2880000</v>
      </c>
      <c r="J50" s="101">
        <f t="shared" si="1"/>
        <v>-100</v>
      </c>
    </row>
    <row r="51" spans="1:10" ht="20.100000000000001" hidden="1" customHeight="1">
      <c r="A51" s="180"/>
      <c r="B51" s="102" t="s">
        <v>943</v>
      </c>
      <c r="C51" s="103" t="s">
        <v>173</v>
      </c>
      <c r="D51" s="104">
        <v>22800000</v>
      </c>
      <c r="E51" s="104">
        <v>22800000</v>
      </c>
      <c r="F51" s="175">
        <f t="shared" si="0"/>
        <v>0</v>
      </c>
      <c r="G51" s="167">
        <f t="shared" si="0"/>
        <v>22800000</v>
      </c>
      <c r="H51" s="101" t="e">
        <f t="shared" si="1"/>
        <v>#VALUE!</v>
      </c>
      <c r="I51" s="101">
        <f t="shared" si="4"/>
        <v>-22800000</v>
      </c>
      <c r="J51" s="101">
        <f t="shared" si="1"/>
        <v>-100</v>
      </c>
    </row>
    <row r="52" spans="1:10" ht="20.100000000000001" customHeight="1">
      <c r="A52" s="178">
        <v>3</v>
      </c>
      <c r="B52" s="193" t="s">
        <v>944</v>
      </c>
      <c r="C52" s="195" t="s">
        <v>2</v>
      </c>
      <c r="D52" s="197">
        <f>SUM(D55:D65)</f>
        <v>64481000</v>
      </c>
      <c r="E52" s="197">
        <f>'rekap REALISASI REKO '!AB53</f>
        <v>70000000</v>
      </c>
      <c r="F52" s="199">
        <f>D52-E52</f>
        <v>-5519000</v>
      </c>
      <c r="G52" s="201">
        <f>'rekap REALISASI REKO '!AQ53</f>
        <v>63961125</v>
      </c>
      <c r="H52" s="214">
        <f>G52/E52*100</f>
        <v>91.373035714285706</v>
      </c>
      <c r="I52" s="214">
        <f>E52-G52</f>
        <v>6038875</v>
      </c>
      <c r="J52" s="214">
        <f>I52/E52*100</f>
        <v>8.6269642857142852</v>
      </c>
    </row>
    <row r="53" spans="1:10" ht="3.75" customHeight="1">
      <c r="A53" s="179"/>
      <c r="B53" s="194"/>
      <c r="C53" s="196"/>
      <c r="D53" s="198"/>
      <c r="E53" s="198"/>
      <c r="F53" s="200"/>
      <c r="G53" s="202"/>
      <c r="H53" s="215"/>
      <c r="I53" s="215"/>
      <c r="J53" s="215"/>
    </row>
    <row r="54" spans="1:10" ht="20.100000000000001" hidden="1" customHeight="1">
      <c r="A54" s="180"/>
      <c r="B54" s="102" t="s">
        <v>945</v>
      </c>
      <c r="C54" s="103" t="s">
        <v>10</v>
      </c>
      <c r="D54" s="104"/>
      <c r="E54" s="104">
        <v>35820000</v>
      </c>
      <c r="F54" s="175">
        <f t="shared" si="0"/>
        <v>-35820000</v>
      </c>
      <c r="G54" s="167">
        <f t="shared" si="0"/>
        <v>71640000</v>
      </c>
      <c r="H54" s="101" t="e">
        <f t="shared" si="1"/>
        <v>#VALUE!</v>
      </c>
      <c r="I54" s="101">
        <f t="shared" ref="I54:I65" si="5">F54-G54</f>
        <v>-107460000</v>
      </c>
      <c r="J54" s="101">
        <f t="shared" si="1"/>
        <v>-300</v>
      </c>
    </row>
    <row r="55" spans="1:10" ht="20.100000000000001" hidden="1" customHeight="1">
      <c r="A55" s="180"/>
      <c r="B55" s="102" t="s">
        <v>946</v>
      </c>
      <c r="C55" s="103" t="s">
        <v>177</v>
      </c>
      <c r="D55" s="104"/>
      <c r="E55" s="104">
        <v>31200000</v>
      </c>
      <c r="F55" s="175">
        <f t="shared" si="0"/>
        <v>-31200000</v>
      </c>
      <c r="G55" s="167">
        <f t="shared" si="0"/>
        <v>62400000</v>
      </c>
      <c r="H55" s="101" t="e">
        <f t="shared" si="1"/>
        <v>#VALUE!</v>
      </c>
      <c r="I55" s="101">
        <f t="shared" si="5"/>
        <v>-93600000</v>
      </c>
      <c r="J55" s="101">
        <f t="shared" si="1"/>
        <v>-300</v>
      </c>
    </row>
    <row r="56" spans="1:10" ht="20.100000000000001" hidden="1" customHeight="1">
      <c r="A56" s="180"/>
      <c r="B56" s="102" t="s">
        <v>947</v>
      </c>
      <c r="C56" s="103" t="s">
        <v>179</v>
      </c>
      <c r="D56" s="104">
        <v>31200000</v>
      </c>
      <c r="E56" s="104">
        <v>31200000</v>
      </c>
      <c r="F56" s="175">
        <f t="shared" si="0"/>
        <v>0</v>
      </c>
      <c r="G56" s="167">
        <f t="shared" si="0"/>
        <v>31200000</v>
      </c>
      <c r="H56" s="101" t="e">
        <f t="shared" si="1"/>
        <v>#VALUE!</v>
      </c>
      <c r="I56" s="101">
        <f t="shared" si="5"/>
        <v>-31200000</v>
      </c>
      <c r="J56" s="101">
        <f t="shared" si="1"/>
        <v>-100</v>
      </c>
    </row>
    <row r="57" spans="1:10" ht="20.100000000000001" hidden="1" customHeight="1">
      <c r="A57" s="180"/>
      <c r="B57" s="102" t="s">
        <v>948</v>
      </c>
      <c r="C57" s="103" t="s">
        <v>181</v>
      </c>
      <c r="D57" s="104"/>
      <c r="E57" s="104">
        <v>4620000</v>
      </c>
      <c r="F57" s="175">
        <f t="shared" si="0"/>
        <v>-4620000</v>
      </c>
      <c r="G57" s="167">
        <f t="shared" si="0"/>
        <v>9240000</v>
      </c>
      <c r="H57" s="101" t="e">
        <f t="shared" si="1"/>
        <v>#VALUE!</v>
      </c>
      <c r="I57" s="101">
        <f t="shared" si="5"/>
        <v>-13860000</v>
      </c>
      <c r="J57" s="101">
        <f t="shared" si="1"/>
        <v>-300</v>
      </c>
    </row>
    <row r="58" spans="1:10" ht="20.100000000000001" hidden="1" customHeight="1">
      <c r="A58" s="180"/>
      <c r="B58" s="102" t="s">
        <v>949</v>
      </c>
      <c r="C58" s="103" t="s">
        <v>183</v>
      </c>
      <c r="D58" s="104">
        <v>4620000</v>
      </c>
      <c r="E58" s="104">
        <v>4620000</v>
      </c>
      <c r="F58" s="175">
        <f t="shared" si="0"/>
        <v>0</v>
      </c>
      <c r="G58" s="167">
        <f t="shared" si="0"/>
        <v>4620000</v>
      </c>
      <c r="H58" s="101" t="e">
        <f t="shared" si="1"/>
        <v>#VALUE!</v>
      </c>
      <c r="I58" s="101">
        <f t="shared" si="5"/>
        <v>-4620000</v>
      </c>
      <c r="J58" s="101">
        <f t="shared" si="1"/>
        <v>-100</v>
      </c>
    </row>
    <row r="59" spans="1:10" ht="20.100000000000001" hidden="1" customHeight="1">
      <c r="A59" s="180"/>
      <c r="B59" s="102" t="s">
        <v>950</v>
      </c>
      <c r="C59" s="103" t="s">
        <v>143</v>
      </c>
      <c r="D59" s="104"/>
      <c r="E59" s="104">
        <v>28661000</v>
      </c>
      <c r="F59" s="175">
        <f t="shared" si="0"/>
        <v>-28661000</v>
      </c>
      <c r="G59" s="167">
        <f t="shared" si="0"/>
        <v>57322000</v>
      </c>
      <c r="H59" s="101" t="e">
        <f t="shared" si="1"/>
        <v>#VALUE!</v>
      </c>
      <c r="I59" s="101">
        <f t="shared" si="5"/>
        <v>-85983000</v>
      </c>
      <c r="J59" s="101">
        <f t="shared" si="1"/>
        <v>-300</v>
      </c>
    </row>
    <row r="60" spans="1:10" ht="20.100000000000001" hidden="1" customHeight="1">
      <c r="A60" s="180"/>
      <c r="B60" s="102" t="s">
        <v>951</v>
      </c>
      <c r="C60" s="103" t="s">
        <v>145</v>
      </c>
      <c r="D60" s="104"/>
      <c r="E60" s="104">
        <v>7192000</v>
      </c>
      <c r="F60" s="175">
        <f t="shared" si="0"/>
        <v>-7192000</v>
      </c>
      <c r="G60" s="167">
        <f t="shared" si="0"/>
        <v>14384000</v>
      </c>
      <c r="H60" s="101" t="e">
        <f t="shared" si="1"/>
        <v>#VALUE!</v>
      </c>
      <c r="I60" s="101">
        <f t="shared" si="5"/>
        <v>-21576000</v>
      </c>
      <c r="J60" s="101">
        <f t="shared" si="1"/>
        <v>-300</v>
      </c>
    </row>
    <row r="61" spans="1:10" ht="20.100000000000001" hidden="1" customHeight="1">
      <c r="A61" s="180"/>
      <c r="B61" s="102" t="s">
        <v>952</v>
      </c>
      <c r="C61" s="103" t="s">
        <v>147</v>
      </c>
      <c r="D61" s="104">
        <v>7192000</v>
      </c>
      <c r="E61" s="104">
        <v>7192000</v>
      </c>
      <c r="F61" s="175">
        <f t="shared" si="0"/>
        <v>0</v>
      </c>
      <c r="G61" s="167">
        <f t="shared" si="0"/>
        <v>7192000</v>
      </c>
      <c r="H61" s="101" t="e">
        <f t="shared" si="1"/>
        <v>#VALUE!</v>
      </c>
      <c r="I61" s="101">
        <f t="shared" si="5"/>
        <v>-7192000</v>
      </c>
      <c r="J61" s="101">
        <f t="shared" si="1"/>
        <v>-100</v>
      </c>
    </row>
    <row r="62" spans="1:10" ht="20.100000000000001" hidden="1" customHeight="1">
      <c r="A62" s="180"/>
      <c r="B62" s="102" t="s">
        <v>953</v>
      </c>
      <c r="C62" s="103" t="s">
        <v>151</v>
      </c>
      <c r="D62" s="104"/>
      <c r="E62" s="104">
        <v>12549000</v>
      </c>
      <c r="F62" s="175">
        <f t="shared" si="0"/>
        <v>-12549000</v>
      </c>
      <c r="G62" s="167">
        <f t="shared" si="0"/>
        <v>25098000</v>
      </c>
      <c r="H62" s="101" t="e">
        <f t="shared" si="1"/>
        <v>#VALUE!</v>
      </c>
      <c r="I62" s="101">
        <f t="shared" si="5"/>
        <v>-37647000</v>
      </c>
      <c r="J62" s="101">
        <f t="shared" si="1"/>
        <v>-300</v>
      </c>
    </row>
    <row r="63" spans="1:10" ht="20.100000000000001" hidden="1" customHeight="1">
      <c r="A63" s="180"/>
      <c r="B63" s="102" t="s">
        <v>954</v>
      </c>
      <c r="C63" s="103" t="s">
        <v>155</v>
      </c>
      <c r="D63" s="104">
        <v>12549000</v>
      </c>
      <c r="E63" s="104">
        <v>12549000</v>
      </c>
      <c r="F63" s="175">
        <f t="shared" si="0"/>
        <v>0</v>
      </c>
      <c r="G63" s="167">
        <f t="shared" si="0"/>
        <v>12549000</v>
      </c>
      <c r="H63" s="101" t="e">
        <f t="shared" si="1"/>
        <v>#VALUE!</v>
      </c>
      <c r="I63" s="101">
        <f t="shared" si="5"/>
        <v>-12549000</v>
      </c>
      <c r="J63" s="101">
        <f t="shared" si="1"/>
        <v>-100</v>
      </c>
    </row>
    <row r="64" spans="1:10" ht="20.100000000000001" hidden="1" customHeight="1">
      <c r="A64" s="180"/>
      <c r="B64" s="102" t="s">
        <v>955</v>
      </c>
      <c r="C64" s="103" t="s">
        <v>157</v>
      </c>
      <c r="D64" s="104"/>
      <c r="E64" s="104">
        <v>8920000</v>
      </c>
      <c r="F64" s="175">
        <f t="shared" si="0"/>
        <v>-8920000</v>
      </c>
      <c r="G64" s="167">
        <f t="shared" si="0"/>
        <v>17840000</v>
      </c>
      <c r="H64" s="101" t="e">
        <f t="shared" si="1"/>
        <v>#VALUE!</v>
      </c>
      <c r="I64" s="101">
        <f t="shared" si="5"/>
        <v>-26760000</v>
      </c>
      <c r="J64" s="101">
        <f t="shared" si="1"/>
        <v>-300</v>
      </c>
    </row>
    <row r="65" spans="1:10" ht="20.100000000000001" hidden="1" customHeight="1">
      <c r="A65" s="180"/>
      <c r="B65" s="102" t="s">
        <v>956</v>
      </c>
      <c r="C65" s="103" t="s">
        <v>159</v>
      </c>
      <c r="D65" s="104">
        <v>8920000</v>
      </c>
      <c r="E65" s="104">
        <v>8920000</v>
      </c>
      <c r="F65" s="175">
        <f t="shared" si="0"/>
        <v>0</v>
      </c>
      <c r="G65" s="167">
        <f t="shared" si="0"/>
        <v>8920000</v>
      </c>
      <c r="H65" s="101" t="e">
        <f t="shared" si="1"/>
        <v>#VALUE!</v>
      </c>
      <c r="I65" s="101">
        <f t="shared" si="5"/>
        <v>-8920000</v>
      </c>
      <c r="J65" s="101">
        <f t="shared" si="1"/>
        <v>-100</v>
      </c>
    </row>
    <row r="66" spans="1:10" ht="20.100000000000001" customHeight="1">
      <c r="A66" s="178">
        <v>4</v>
      </c>
      <c r="B66" s="193" t="s">
        <v>957</v>
      </c>
      <c r="C66" s="195" t="s">
        <v>199</v>
      </c>
      <c r="D66" s="197">
        <f>SUM(D68:D74)</f>
        <v>117257000</v>
      </c>
      <c r="E66" s="197">
        <f>'rekap REALISASI REKO '!AB69</f>
        <v>120000000</v>
      </c>
      <c r="F66" s="199">
        <f>D66-E66</f>
        <v>-2743000</v>
      </c>
      <c r="G66" s="201">
        <f>'rekap REALISASI REKO '!AQ69</f>
        <v>96509725</v>
      </c>
      <c r="H66" s="214">
        <f>G66/E66*100</f>
        <v>80.424770833333341</v>
      </c>
      <c r="I66" s="214">
        <f>E66-G66</f>
        <v>23490275</v>
      </c>
      <c r="J66" s="214">
        <f>I66/E66*100</f>
        <v>19.575229166666666</v>
      </c>
    </row>
    <row r="67" spans="1:10" ht="9.75" customHeight="1">
      <c r="A67" s="179"/>
      <c r="B67" s="194"/>
      <c r="C67" s="196"/>
      <c r="D67" s="198"/>
      <c r="E67" s="198"/>
      <c r="F67" s="200"/>
      <c r="G67" s="202"/>
      <c r="H67" s="215"/>
      <c r="I67" s="215"/>
      <c r="J67" s="215"/>
    </row>
    <row r="68" spans="1:10" ht="20.100000000000001" hidden="1" customHeight="1">
      <c r="A68" s="180"/>
      <c r="B68" s="102" t="s">
        <v>958</v>
      </c>
      <c r="C68" s="103" t="s">
        <v>143</v>
      </c>
      <c r="D68" s="104"/>
      <c r="E68" s="104">
        <v>117257000</v>
      </c>
      <c r="F68" s="175">
        <f t="shared" si="0"/>
        <v>-117257000</v>
      </c>
      <c r="G68" s="167">
        <f t="shared" si="0"/>
        <v>234514000</v>
      </c>
      <c r="H68" s="101" t="e">
        <f t="shared" si="1"/>
        <v>#VALUE!</v>
      </c>
      <c r="I68" s="101">
        <f t="shared" ref="I68:I74" si="6">F68-G68</f>
        <v>-351771000</v>
      </c>
      <c r="J68" s="101">
        <f t="shared" si="1"/>
        <v>-300</v>
      </c>
    </row>
    <row r="69" spans="1:10" ht="20.100000000000001" hidden="1" customHeight="1">
      <c r="A69" s="180"/>
      <c r="B69" s="102" t="s">
        <v>959</v>
      </c>
      <c r="C69" s="103" t="s">
        <v>145</v>
      </c>
      <c r="D69" s="104"/>
      <c r="E69" s="104">
        <v>539000</v>
      </c>
      <c r="F69" s="175">
        <f t="shared" si="0"/>
        <v>-539000</v>
      </c>
      <c r="G69" s="167">
        <f t="shared" si="0"/>
        <v>1078000</v>
      </c>
      <c r="H69" s="101" t="e">
        <f t="shared" si="1"/>
        <v>#VALUE!</v>
      </c>
      <c r="I69" s="101">
        <f t="shared" si="6"/>
        <v>-1617000</v>
      </c>
      <c r="J69" s="101">
        <f t="shared" si="1"/>
        <v>-300</v>
      </c>
    </row>
    <row r="70" spans="1:10" ht="20.100000000000001" hidden="1" customHeight="1">
      <c r="A70" s="180"/>
      <c r="B70" s="102" t="s">
        <v>960</v>
      </c>
      <c r="C70" s="103" t="s">
        <v>147</v>
      </c>
      <c r="D70" s="104">
        <v>539000</v>
      </c>
      <c r="E70" s="104">
        <v>539000</v>
      </c>
      <c r="F70" s="175">
        <f t="shared" si="0"/>
        <v>0</v>
      </c>
      <c r="G70" s="167">
        <f t="shared" si="0"/>
        <v>539000</v>
      </c>
      <c r="H70" s="101" t="e">
        <f t="shared" si="1"/>
        <v>#VALUE!</v>
      </c>
      <c r="I70" s="101">
        <f t="shared" si="6"/>
        <v>-539000</v>
      </c>
      <c r="J70" s="101">
        <f t="shared" si="1"/>
        <v>-100</v>
      </c>
    </row>
    <row r="71" spans="1:10" ht="20.100000000000001" hidden="1" customHeight="1">
      <c r="A71" s="180"/>
      <c r="B71" s="102" t="s">
        <v>961</v>
      </c>
      <c r="C71" s="103" t="s">
        <v>151</v>
      </c>
      <c r="D71" s="104"/>
      <c r="E71" s="104">
        <v>1068000</v>
      </c>
      <c r="F71" s="175">
        <f t="shared" si="0"/>
        <v>-1068000</v>
      </c>
      <c r="G71" s="167">
        <f t="shared" si="0"/>
        <v>2136000</v>
      </c>
      <c r="H71" s="101" t="e">
        <f t="shared" si="1"/>
        <v>#VALUE!</v>
      </c>
      <c r="I71" s="101">
        <f t="shared" si="6"/>
        <v>-3204000</v>
      </c>
      <c r="J71" s="101">
        <f t="shared" si="1"/>
        <v>-300</v>
      </c>
    </row>
    <row r="72" spans="1:10" ht="20.100000000000001" hidden="1" customHeight="1">
      <c r="A72" s="180"/>
      <c r="B72" s="102" t="s">
        <v>962</v>
      </c>
      <c r="C72" s="103" t="s">
        <v>155</v>
      </c>
      <c r="D72" s="104">
        <v>1068000</v>
      </c>
      <c r="E72" s="104">
        <v>1068000</v>
      </c>
      <c r="F72" s="175">
        <f t="shared" si="0"/>
        <v>0</v>
      </c>
      <c r="G72" s="167">
        <f t="shared" si="0"/>
        <v>1068000</v>
      </c>
      <c r="H72" s="101" t="e">
        <f t="shared" si="1"/>
        <v>#VALUE!</v>
      </c>
      <c r="I72" s="101">
        <f t="shared" si="6"/>
        <v>-1068000</v>
      </c>
      <c r="J72" s="101">
        <f t="shared" si="1"/>
        <v>-100</v>
      </c>
    </row>
    <row r="73" spans="1:10" ht="20.100000000000001" hidden="1" customHeight="1">
      <c r="A73" s="180"/>
      <c r="B73" s="102" t="s">
        <v>963</v>
      </c>
      <c r="C73" s="103" t="s">
        <v>157</v>
      </c>
      <c r="D73" s="104"/>
      <c r="E73" s="104">
        <v>115650000</v>
      </c>
      <c r="F73" s="175">
        <f t="shared" si="0"/>
        <v>-115650000</v>
      </c>
      <c r="G73" s="167">
        <f t="shared" si="0"/>
        <v>231300000</v>
      </c>
      <c r="H73" s="101" t="e">
        <f t="shared" si="1"/>
        <v>#VALUE!</v>
      </c>
      <c r="I73" s="101">
        <f t="shared" si="6"/>
        <v>-346950000</v>
      </c>
      <c r="J73" s="101">
        <f t="shared" si="1"/>
        <v>-300</v>
      </c>
    </row>
    <row r="74" spans="1:10" ht="20.100000000000001" hidden="1" customHeight="1">
      <c r="A74" s="180"/>
      <c r="B74" s="102" t="s">
        <v>964</v>
      </c>
      <c r="C74" s="103" t="s">
        <v>207</v>
      </c>
      <c r="D74" s="104">
        <v>115650000</v>
      </c>
      <c r="E74" s="104">
        <v>115650000</v>
      </c>
      <c r="F74" s="175">
        <f t="shared" si="0"/>
        <v>0</v>
      </c>
      <c r="G74" s="167">
        <f t="shared" si="0"/>
        <v>115650000</v>
      </c>
      <c r="H74" s="101" t="e">
        <f t="shared" ref="H74:J135" si="7">G74/C74*100</f>
        <v>#VALUE!</v>
      </c>
      <c r="I74" s="101">
        <f t="shared" si="6"/>
        <v>-115650000</v>
      </c>
      <c r="J74" s="101">
        <f t="shared" si="7"/>
        <v>-100</v>
      </c>
    </row>
    <row r="75" spans="1:10" ht="20.100000000000001" customHeight="1">
      <c r="A75" s="178">
        <v>5</v>
      </c>
      <c r="B75" s="193" t="s">
        <v>965</v>
      </c>
      <c r="C75" s="195" t="s">
        <v>209</v>
      </c>
      <c r="D75" s="197">
        <f>SUM(D77:D85)</f>
        <v>69443000</v>
      </c>
      <c r="E75" s="197">
        <f>'rekap REALISASI REKO '!AB77</f>
        <v>76000000</v>
      </c>
      <c r="F75" s="199">
        <f>D75-E75</f>
        <v>-6557000</v>
      </c>
      <c r="G75" s="201">
        <f>'rekap REALISASI REKO '!AQ77</f>
        <v>53744100</v>
      </c>
      <c r="H75" s="214">
        <f>G75/E75*100</f>
        <v>70.715921052631586</v>
      </c>
      <c r="I75" s="214">
        <f>E75-G75</f>
        <v>22255900</v>
      </c>
      <c r="J75" s="214">
        <f>I75/E75*100</f>
        <v>29.284078947368421</v>
      </c>
    </row>
    <row r="76" spans="1:10" ht="9" customHeight="1">
      <c r="A76" s="179"/>
      <c r="B76" s="194"/>
      <c r="C76" s="196"/>
      <c r="D76" s="198"/>
      <c r="E76" s="198"/>
      <c r="F76" s="200"/>
      <c r="G76" s="202"/>
      <c r="H76" s="215"/>
      <c r="I76" s="215"/>
      <c r="J76" s="215"/>
    </row>
    <row r="77" spans="1:10" ht="20.100000000000001" hidden="1" customHeight="1">
      <c r="A77" s="180"/>
      <c r="B77" s="102" t="s">
        <v>966</v>
      </c>
      <c r="C77" s="103" t="s">
        <v>143</v>
      </c>
      <c r="D77" s="104"/>
      <c r="E77" s="104">
        <v>69443000</v>
      </c>
      <c r="F77" s="175">
        <f t="shared" ref="F77:G138" si="8">D77-E77</f>
        <v>-69443000</v>
      </c>
      <c r="G77" s="167">
        <f t="shared" si="8"/>
        <v>138886000</v>
      </c>
      <c r="H77" s="101" t="e">
        <f t="shared" si="7"/>
        <v>#VALUE!</v>
      </c>
      <c r="I77" s="101">
        <f t="shared" ref="I77:I85" si="9">F77-G77</f>
        <v>-208329000</v>
      </c>
      <c r="J77" s="101">
        <f t="shared" si="7"/>
        <v>-300</v>
      </c>
    </row>
    <row r="78" spans="1:10" ht="20.100000000000001" hidden="1" customHeight="1">
      <c r="A78" s="180"/>
      <c r="B78" s="102" t="s">
        <v>967</v>
      </c>
      <c r="C78" s="103" t="s">
        <v>145</v>
      </c>
      <c r="D78" s="104"/>
      <c r="E78" s="104">
        <v>2117000</v>
      </c>
      <c r="F78" s="175">
        <f t="shared" si="8"/>
        <v>-2117000</v>
      </c>
      <c r="G78" s="167">
        <f t="shared" si="8"/>
        <v>4234000</v>
      </c>
      <c r="H78" s="101" t="e">
        <f t="shared" si="7"/>
        <v>#VALUE!</v>
      </c>
      <c r="I78" s="101">
        <f t="shared" si="9"/>
        <v>-6351000</v>
      </c>
      <c r="J78" s="101">
        <f t="shared" si="7"/>
        <v>-300</v>
      </c>
    </row>
    <row r="79" spans="1:10" ht="20.100000000000001" hidden="1" customHeight="1">
      <c r="A79" s="180"/>
      <c r="B79" s="102" t="s">
        <v>968</v>
      </c>
      <c r="C79" s="103" t="s">
        <v>147</v>
      </c>
      <c r="D79" s="104">
        <v>2117000</v>
      </c>
      <c r="E79" s="104">
        <v>2117000</v>
      </c>
      <c r="F79" s="175">
        <f t="shared" si="8"/>
        <v>0</v>
      </c>
      <c r="G79" s="167">
        <f t="shared" si="8"/>
        <v>2117000</v>
      </c>
      <c r="H79" s="101" t="e">
        <f t="shared" si="7"/>
        <v>#VALUE!</v>
      </c>
      <c r="I79" s="101">
        <f t="shared" si="9"/>
        <v>-2117000</v>
      </c>
      <c r="J79" s="101">
        <f t="shared" si="7"/>
        <v>-100</v>
      </c>
    </row>
    <row r="80" spans="1:10" ht="20.100000000000001" hidden="1" customHeight="1">
      <c r="A80" s="180"/>
      <c r="B80" s="102" t="s">
        <v>969</v>
      </c>
      <c r="C80" s="103" t="s">
        <v>151</v>
      </c>
      <c r="D80" s="104"/>
      <c r="E80" s="104">
        <v>2366000</v>
      </c>
      <c r="F80" s="175">
        <f t="shared" si="8"/>
        <v>-2366000</v>
      </c>
      <c r="G80" s="167">
        <f t="shared" si="8"/>
        <v>4732000</v>
      </c>
      <c r="H80" s="101" t="e">
        <f t="shared" si="7"/>
        <v>#VALUE!</v>
      </c>
      <c r="I80" s="101">
        <f t="shared" si="9"/>
        <v>-7098000</v>
      </c>
      <c r="J80" s="101">
        <f t="shared" si="7"/>
        <v>-300</v>
      </c>
    </row>
    <row r="81" spans="1:10" ht="20.100000000000001" hidden="1" customHeight="1">
      <c r="A81" s="180"/>
      <c r="B81" s="102" t="s">
        <v>970</v>
      </c>
      <c r="C81" s="103" t="s">
        <v>155</v>
      </c>
      <c r="D81" s="104">
        <v>2366000</v>
      </c>
      <c r="E81" s="104">
        <v>2366000</v>
      </c>
      <c r="F81" s="175">
        <f t="shared" si="8"/>
        <v>0</v>
      </c>
      <c r="G81" s="167">
        <f t="shared" si="8"/>
        <v>2366000</v>
      </c>
      <c r="H81" s="101" t="e">
        <f t="shared" si="7"/>
        <v>#VALUE!</v>
      </c>
      <c r="I81" s="101">
        <f t="shared" si="9"/>
        <v>-2366000</v>
      </c>
      <c r="J81" s="101">
        <f t="shared" si="7"/>
        <v>-100</v>
      </c>
    </row>
    <row r="82" spans="1:10" ht="20.100000000000001" hidden="1" customHeight="1">
      <c r="A82" s="180"/>
      <c r="B82" s="102" t="s">
        <v>971</v>
      </c>
      <c r="C82" s="103" t="s">
        <v>193</v>
      </c>
      <c r="D82" s="104"/>
      <c r="E82" s="104">
        <v>24750000</v>
      </c>
      <c r="F82" s="175">
        <f t="shared" si="8"/>
        <v>-24750000</v>
      </c>
      <c r="G82" s="167">
        <f t="shared" si="8"/>
        <v>49500000</v>
      </c>
      <c r="H82" s="101" t="e">
        <f t="shared" si="7"/>
        <v>#VALUE!</v>
      </c>
      <c r="I82" s="101">
        <f t="shared" si="9"/>
        <v>-74250000</v>
      </c>
      <c r="J82" s="101">
        <f t="shared" si="7"/>
        <v>-300</v>
      </c>
    </row>
    <row r="83" spans="1:10" ht="20.100000000000001" hidden="1" customHeight="1">
      <c r="A83" s="180"/>
      <c r="B83" s="102" t="s">
        <v>972</v>
      </c>
      <c r="C83" s="103" t="s">
        <v>195</v>
      </c>
      <c r="D83" s="104">
        <v>24750000</v>
      </c>
      <c r="E83" s="104">
        <v>24750000</v>
      </c>
      <c r="F83" s="175">
        <f t="shared" si="8"/>
        <v>0</v>
      </c>
      <c r="G83" s="167">
        <f t="shared" si="8"/>
        <v>24750000</v>
      </c>
      <c r="H83" s="101" t="e">
        <f t="shared" si="7"/>
        <v>#VALUE!</v>
      </c>
      <c r="I83" s="101">
        <f t="shared" si="9"/>
        <v>-24750000</v>
      </c>
      <c r="J83" s="101">
        <f t="shared" si="7"/>
        <v>-100</v>
      </c>
    </row>
    <row r="84" spans="1:10" ht="20.100000000000001" hidden="1" customHeight="1">
      <c r="A84" s="180"/>
      <c r="B84" s="102" t="s">
        <v>973</v>
      </c>
      <c r="C84" s="103" t="s">
        <v>157</v>
      </c>
      <c r="D84" s="104"/>
      <c r="E84" s="104">
        <v>40210000</v>
      </c>
      <c r="F84" s="175">
        <f t="shared" si="8"/>
        <v>-40210000</v>
      </c>
      <c r="G84" s="167">
        <f t="shared" si="8"/>
        <v>80420000</v>
      </c>
      <c r="H84" s="101" t="e">
        <f t="shared" si="7"/>
        <v>#VALUE!</v>
      </c>
      <c r="I84" s="101">
        <f t="shared" si="9"/>
        <v>-120630000</v>
      </c>
      <c r="J84" s="101">
        <f t="shared" si="7"/>
        <v>-300</v>
      </c>
    </row>
    <row r="85" spans="1:10" ht="20.100000000000001" hidden="1" customHeight="1">
      <c r="A85" s="180"/>
      <c r="B85" s="102" t="s">
        <v>974</v>
      </c>
      <c r="C85" s="103" t="s">
        <v>159</v>
      </c>
      <c r="D85" s="104">
        <v>40210000</v>
      </c>
      <c r="E85" s="104">
        <v>40210000</v>
      </c>
      <c r="F85" s="175">
        <f t="shared" si="8"/>
        <v>0</v>
      </c>
      <c r="G85" s="167">
        <f t="shared" si="8"/>
        <v>40210000</v>
      </c>
      <c r="H85" s="101" t="e">
        <f t="shared" si="7"/>
        <v>#VALUE!</v>
      </c>
      <c r="I85" s="101">
        <f t="shared" si="9"/>
        <v>-40210000</v>
      </c>
      <c r="J85" s="101">
        <f t="shared" si="7"/>
        <v>-100</v>
      </c>
    </row>
    <row r="86" spans="1:10" ht="20.100000000000001" customHeight="1">
      <c r="A86" s="176" t="s">
        <v>219</v>
      </c>
      <c r="B86" s="106" t="s">
        <v>975</v>
      </c>
      <c r="C86" s="107" t="s">
        <v>976</v>
      </c>
      <c r="D86" s="108">
        <f>D87+D99+D108+D113</f>
        <v>1010624000</v>
      </c>
      <c r="E86" s="108">
        <f>E87+E99+E108+E113</f>
        <v>720856000</v>
      </c>
      <c r="F86" s="177">
        <f t="shared" si="8"/>
        <v>289768000</v>
      </c>
      <c r="G86" s="169">
        <f>G87+G99+G108+G113</f>
        <v>362959200</v>
      </c>
      <c r="H86" s="110">
        <f>G86/E86*100</f>
        <v>50.351138091380243</v>
      </c>
      <c r="I86" s="109">
        <f>I87+I99+I108+I113</f>
        <v>357896800</v>
      </c>
      <c r="J86" s="110">
        <f t="shared" si="7"/>
        <v>49.64886190861975</v>
      </c>
    </row>
    <row r="87" spans="1:10" ht="20.100000000000001" customHeight="1">
      <c r="A87" s="178">
        <v>6</v>
      </c>
      <c r="B87" s="193" t="s">
        <v>977</v>
      </c>
      <c r="C87" s="195" t="s">
        <v>3</v>
      </c>
      <c r="D87" s="197">
        <f>SUM(D91:D98)</f>
        <v>161880000</v>
      </c>
      <c r="E87" s="197">
        <f>'rekap REALISASI REKO '!AB88</f>
        <v>166200000</v>
      </c>
      <c r="F87" s="199">
        <f>D87-E87</f>
        <v>-4320000</v>
      </c>
      <c r="G87" s="201">
        <f>'rekap REALISASI REKO '!AQ88</f>
        <v>140056450</v>
      </c>
      <c r="H87" s="214">
        <f>G87/E87*100</f>
        <v>84.269825511432003</v>
      </c>
      <c r="I87" s="214">
        <f>E87-G87</f>
        <v>26143550</v>
      </c>
      <c r="J87" s="214">
        <f>I87/E87*100</f>
        <v>15.730174488567991</v>
      </c>
    </row>
    <row r="88" spans="1:10" ht="5.25" customHeight="1">
      <c r="A88" s="179"/>
      <c r="B88" s="194"/>
      <c r="C88" s="196"/>
      <c r="D88" s="198"/>
      <c r="E88" s="198"/>
      <c r="F88" s="200"/>
      <c r="G88" s="202"/>
      <c r="H88" s="215"/>
      <c r="I88" s="215"/>
      <c r="J88" s="215"/>
    </row>
    <row r="89" spans="1:10" ht="20.100000000000001" hidden="1" customHeight="1">
      <c r="A89" s="180"/>
      <c r="B89" s="102" t="s">
        <v>978</v>
      </c>
      <c r="C89" s="103" t="s">
        <v>143</v>
      </c>
      <c r="D89" s="104"/>
      <c r="E89" s="104">
        <v>161880000</v>
      </c>
      <c r="F89" s="175">
        <f t="shared" si="8"/>
        <v>-161880000</v>
      </c>
      <c r="G89" s="167">
        <f t="shared" si="8"/>
        <v>323760000</v>
      </c>
      <c r="H89" s="101" t="e">
        <f t="shared" si="7"/>
        <v>#VALUE!</v>
      </c>
      <c r="I89" s="101">
        <f t="shared" ref="I89:I98" si="10">F89-G89</f>
        <v>-485640000</v>
      </c>
      <c r="J89" s="101">
        <f t="shared" si="7"/>
        <v>-300</v>
      </c>
    </row>
    <row r="90" spans="1:10" ht="20.100000000000001" hidden="1" customHeight="1">
      <c r="A90" s="180"/>
      <c r="B90" s="102" t="s">
        <v>979</v>
      </c>
      <c r="C90" s="103" t="s">
        <v>145</v>
      </c>
      <c r="D90" s="104"/>
      <c r="E90" s="104">
        <v>18008000</v>
      </c>
      <c r="F90" s="175">
        <f t="shared" si="8"/>
        <v>-18008000</v>
      </c>
      <c r="G90" s="167">
        <f t="shared" si="8"/>
        <v>36016000</v>
      </c>
      <c r="H90" s="101" t="e">
        <f t="shared" si="7"/>
        <v>#VALUE!</v>
      </c>
      <c r="I90" s="101">
        <f t="shared" si="10"/>
        <v>-54024000</v>
      </c>
      <c r="J90" s="101">
        <f t="shared" si="7"/>
        <v>-300</v>
      </c>
    </row>
    <row r="91" spans="1:10" ht="20.100000000000001" hidden="1" customHeight="1">
      <c r="A91" s="180"/>
      <c r="B91" s="102" t="s">
        <v>980</v>
      </c>
      <c r="C91" s="103" t="s">
        <v>226</v>
      </c>
      <c r="D91" s="104">
        <v>5480000</v>
      </c>
      <c r="E91" s="104">
        <v>5480000</v>
      </c>
      <c r="F91" s="175">
        <f t="shared" si="8"/>
        <v>0</v>
      </c>
      <c r="G91" s="167">
        <f t="shared" si="8"/>
        <v>5480000</v>
      </c>
      <c r="H91" s="101" t="e">
        <f t="shared" si="7"/>
        <v>#VALUE!</v>
      </c>
      <c r="I91" s="101">
        <f t="shared" si="10"/>
        <v>-5480000</v>
      </c>
      <c r="J91" s="101">
        <f t="shared" si="7"/>
        <v>-100</v>
      </c>
    </row>
    <row r="92" spans="1:10" ht="20.100000000000001" hidden="1" customHeight="1">
      <c r="A92" s="180"/>
      <c r="B92" s="102" t="s">
        <v>981</v>
      </c>
      <c r="C92" s="103" t="s">
        <v>228</v>
      </c>
      <c r="D92" s="104">
        <v>12528000</v>
      </c>
      <c r="E92" s="104">
        <v>12528000</v>
      </c>
      <c r="F92" s="175">
        <f t="shared" si="8"/>
        <v>0</v>
      </c>
      <c r="G92" s="167">
        <f t="shared" si="8"/>
        <v>12528000</v>
      </c>
      <c r="H92" s="101" t="e">
        <f t="shared" si="7"/>
        <v>#VALUE!</v>
      </c>
      <c r="I92" s="101">
        <f t="shared" si="10"/>
        <v>-12528000</v>
      </c>
      <c r="J92" s="101">
        <f t="shared" si="7"/>
        <v>-100</v>
      </c>
    </row>
    <row r="93" spans="1:10" ht="20.100000000000001" hidden="1" customHeight="1">
      <c r="A93" s="180"/>
      <c r="B93" s="102" t="s">
        <v>982</v>
      </c>
      <c r="C93" s="103" t="s">
        <v>163</v>
      </c>
      <c r="D93" s="104"/>
      <c r="E93" s="104">
        <v>133000000</v>
      </c>
      <c r="F93" s="175">
        <f t="shared" si="8"/>
        <v>-133000000</v>
      </c>
      <c r="G93" s="167">
        <f t="shared" si="8"/>
        <v>266000000</v>
      </c>
      <c r="H93" s="101" t="e">
        <f t="shared" si="7"/>
        <v>#VALUE!</v>
      </c>
      <c r="I93" s="101">
        <f t="shared" si="10"/>
        <v>-399000000</v>
      </c>
      <c r="J93" s="101">
        <f t="shared" si="7"/>
        <v>-300</v>
      </c>
    </row>
    <row r="94" spans="1:10" ht="20.100000000000001" hidden="1" customHeight="1">
      <c r="A94" s="180"/>
      <c r="B94" s="102" t="s">
        <v>983</v>
      </c>
      <c r="C94" s="103" t="s">
        <v>231</v>
      </c>
      <c r="D94" s="104">
        <v>133000000</v>
      </c>
      <c r="E94" s="104">
        <v>133000000</v>
      </c>
      <c r="F94" s="175">
        <f t="shared" si="8"/>
        <v>0</v>
      </c>
      <c r="G94" s="167">
        <f t="shared" si="8"/>
        <v>133000000</v>
      </c>
      <c r="H94" s="101" t="e">
        <f t="shared" si="7"/>
        <v>#VALUE!</v>
      </c>
      <c r="I94" s="101">
        <f t="shared" si="10"/>
        <v>-133000000</v>
      </c>
      <c r="J94" s="101">
        <f t="shared" si="7"/>
        <v>-100</v>
      </c>
    </row>
    <row r="95" spans="1:10" ht="20.100000000000001" hidden="1" customHeight="1">
      <c r="A95" s="180"/>
      <c r="B95" s="102" t="s">
        <v>984</v>
      </c>
      <c r="C95" s="103" t="s">
        <v>233</v>
      </c>
      <c r="D95" s="104"/>
      <c r="E95" s="104">
        <v>9792000</v>
      </c>
      <c r="F95" s="175">
        <f t="shared" si="8"/>
        <v>-9792000</v>
      </c>
      <c r="G95" s="167">
        <f t="shared" si="8"/>
        <v>19584000</v>
      </c>
      <c r="H95" s="101" t="e">
        <f t="shared" si="7"/>
        <v>#VALUE!</v>
      </c>
      <c r="I95" s="101">
        <f t="shared" si="10"/>
        <v>-29376000</v>
      </c>
      <c r="J95" s="101">
        <f t="shared" si="7"/>
        <v>-300</v>
      </c>
    </row>
    <row r="96" spans="1:10" ht="20.100000000000001" hidden="1" customHeight="1">
      <c r="A96" s="180"/>
      <c r="B96" s="102" t="s">
        <v>985</v>
      </c>
      <c r="C96" s="103" t="s">
        <v>986</v>
      </c>
      <c r="D96" s="104">
        <v>9792000</v>
      </c>
      <c r="E96" s="104">
        <v>9792000</v>
      </c>
      <c r="F96" s="175">
        <f t="shared" si="8"/>
        <v>0</v>
      </c>
      <c r="G96" s="167">
        <f t="shared" si="8"/>
        <v>9792000</v>
      </c>
      <c r="H96" s="101" t="e">
        <f t="shared" si="7"/>
        <v>#VALUE!</v>
      </c>
      <c r="I96" s="101">
        <f t="shared" si="10"/>
        <v>-9792000</v>
      </c>
      <c r="J96" s="101">
        <f t="shared" si="7"/>
        <v>-100</v>
      </c>
    </row>
    <row r="97" spans="1:10" ht="20.100000000000001" hidden="1" customHeight="1">
      <c r="A97" s="180"/>
      <c r="B97" s="102" t="s">
        <v>987</v>
      </c>
      <c r="C97" s="103" t="s">
        <v>243</v>
      </c>
      <c r="D97" s="104"/>
      <c r="E97" s="104">
        <v>1080000</v>
      </c>
      <c r="F97" s="175">
        <f t="shared" si="8"/>
        <v>-1080000</v>
      </c>
      <c r="G97" s="167">
        <f t="shared" si="8"/>
        <v>2160000</v>
      </c>
      <c r="H97" s="101" t="e">
        <f t="shared" si="7"/>
        <v>#VALUE!</v>
      </c>
      <c r="I97" s="101">
        <f t="shared" si="10"/>
        <v>-3240000</v>
      </c>
      <c r="J97" s="101">
        <f t="shared" si="7"/>
        <v>-300</v>
      </c>
    </row>
    <row r="98" spans="1:10" ht="20.100000000000001" hidden="1" customHeight="1">
      <c r="A98" s="180"/>
      <c r="B98" s="102" t="s">
        <v>988</v>
      </c>
      <c r="C98" s="103" t="s">
        <v>245</v>
      </c>
      <c r="D98" s="104">
        <v>1080000</v>
      </c>
      <c r="E98" s="104">
        <v>1080000</v>
      </c>
      <c r="F98" s="175">
        <f t="shared" si="8"/>
        <v>0</v>
      </c>
      <c r="G98" s="167">
        <f t="shared" si="8"/>
        <v>1080000</v>
      </c>
      <c r="H98" s="101" t="e">
        <f t="shared" si="7"/>
        <v>#VALUE!</v>
      </c>
      <c r="I98" s="101">
        <f t="shared" si="10"/>
        <v>-1080000</v>
      </c>
      <c r="J98" s="101">
        <f t="shared" si="7"/>
        <v>-100</v>
      </c>
    </row>
    <row r="99" spans="1:10" ht="20.100000000000001" customHeight="1">
      <c r="A99" s="178">
        <v>7</v>
      </c>
      <c r="B99" s="193" t="s">
        <v>989</v>
      </c>
      <c r="C99" s="195" t="s">
        <v>4</v>
      </c>
      <c r="D99" s="197">
        <v>344845000</v>
      </c>
      <c r="E99" s="197">
        <f>'rekap REALISASI REKO '!AB102</f>
        <v>312656000</v>
      </c>
      <c r="F99" s="199">
        <f>D99-E99</f>
        <v>32189000</v>
      </c>
      <c r="G99" s="201">
        <f>'rekap REALISASI REKO '!AQ102</f>
        <v>165332750</v>
      </c>
      <c r="H99" s="214">
        <f>G99/E99*100</f>
        <v>52.880082262934344</v>
      </c>
      <c r="I99" s="214">
        <f>E99-G99</f>
        <v>147323250</v>
      </c>
      <c r="J99" s="214">
        <f>I99/E99*100</f>
        <v>47.119917737065656</v>
      </c>
    </row>
    <row r="100" spans="1:10" ht="6.75" customHeight="1">
      <c r="A100" s="179"/>
      <c r="B100" s="194"/>
      <c r="C100" s="196"/>
      <c r="D100" s="198"/>
      <c r="E100" s="198"/>
      <c r="F100" s="200"/>
      <c r="G100" s="202"/>
      <c r="H100" s="215"/>
      <c r="I100" s="215"/>
      <c r="J100" s="215"/>
    </row>
    <row r="101" spans="1:10" ht="20.100000000000001" hidden="1" customHeight="1">
      <c r="A101" s="180"/>
      <c r="B101" s="102" t="s">
        <v>990</v>
      </c>
      <c r="C101" s="103" t="s">
        <v>143</v>
      </c>
      <c r="D101" s="104"/>
      <c r="E101" s="104">
        <v>344845000</v>
      </c>
      <c r="F101" s="175">
        <f t="shared" si="8"/>
        <v>-344845000</v>
      </c>
      <c r="G101" s="167">
        <f t="shared" si="8"/>
        <v>689690000</v>
      </c>
      <c r="H101" s="101" t="e">
        <f t="shared" si="7"/>
        <v>#VALUE!</v>
      </c>
      <c r="I101" s="101">
        <f t="shared" ref="I101:I107" si="11">F101-G101</f>
        <v>-1034535000</v>
      </c>
      <c r="J101" s="101">
        <f t="shared" si="7"/>
        <v>-300</v>
      </c>
    </row>
    <row r="102" spans="1:10" ht="20.100000000000001" hidden="1" customHeight="1">
      <c r="A102" s="180"/>
      <c r="B102" s="102" t="s">
        <v>991</v>
      </c>
      <c r="C102" s="103" t="s">
        <v>233</v>
      </c>
      <c r="D102" s="104"/>
      <c r="E102" s="104">
        <v>344845000</v>
      </c>
      <c r="F102" s="175">
        <f t="shared" si="8"/>
        <v>-344845000</v>
      </c>
      <c r="G102" s="167">
        <f t="shared" si="8"/>
        <v>689690000</v>
      </c>
      <c r="H102" s="101" t="e">
        <f t="shared" si="7"/>
        <v>#VALUE!</v>
      </c>
      <c r="I102" s="101">
        <f t="shared" si="11"/>
        <v>-1034535000</v>
      </c>
      <c r="J102" s="101">
        <f t="shared" si="7"/>
        <v>-300</v>
      </c>
    </row>
    <row r="103" spans="1:10" ht="20.100000000000001" hidden="1" customHeight="1">
      <c r="A103" s="180"/>
      <c r="B103" s="102" t="s">
        <v>992</v>
      </c>
      <c r="C103" s="103" t="s">
        <v>235</v>
      </c>
      <c r="D103" s="104">
        <v>61860000</v>
      </c>
      <c r="E103" s="104">
        <v>61860000</v>
      </c>
      <c r="F103" s="175">
        <f t="shared" si="8"/>
        <v>0</v>
      </c>
      <c r="G103" s="167">
        <f t="shared" si="8"/>
        <v>61860000</v>
      </c>
      <c r="H103" s="101" t="e">
        <f t="shared" si="7"/>
        <v>#VALUE!</v>
      </c>
      <c r="I103" s="101">
        <f t="shared" si="11"/>
        <v>-61860000</v>
      </c>
      <c r="J103" s="101">
        <f t="shared" si="7"/>
        <v>-100</v>
      </c>
    </row>
    <row r="104" spans="1:10" ht="20.100000000000001" hidden="1" customHeight="1">
      <c r="A104" s="180"/>
      <c r="B104" s="102" t="s">
        <v>993</v>
      </c>
      <c r="C104" s="103" t="s">
        <v>251</v>
      </c>
      <c r="D104" s="104">
        <v>48737000</v>
      </c>
      <c r="E104" s="104">
        <v>48737000</v>
      </c>
      <c r="F104" s="175">
        <f t="shared" si="8"/>
        <v>0</v>
      </c>
      <c r="G104" s="167">
        <f t="shared" si="8"/>
        <v>48737000</v>
      </c>
      <c r="H104" s="101" t="e">
        <f t="shared" si="7"/>
        <v>#VALUE!</v>
      </c>
      <c r="I104" s="101">
        <f t="shared" si="11"/>
        <v>-48737000</v>
      </c>
      <c r="J104" s="101">
        <f t="shared" si="7"/>
        <v>-100</v>
      </c>
    </row>
    <row r="105" spans="1:10" ht="20.100000000000001" hidden="1" customHeight="1">
      <c r="A105" s="180"/>
      <c r="B105" s="102" t="s">
        <v>994</v>
      </c>
      <c r="C105" s="103" t="s">
        <v>986</v>
      </c>
      <c r="D105" s="104">
        <v>220292000</v>
      </c>
      <c r="E105" s="104">
        <v>220292000</v>
      </c>
      <c r="F105" s="175">
        <f t="shared" si="8"/>
        <v>0</v>
      </c>
      <c r="G105" s="167">
        <f t="shared" si="8"/>
        <v>220292000</v>
      </c>
      <c r="H105" s="101" t="e">
        <f t="shared" si="7"/>
        <v>#VALUE!</v>
      </c>
      <c r="I105" s="101">
        <f t="shared" si="11"/>
        <v>-220292000</v>
      </c>
      <c r="J105" s="101">
        <f t="shared" si="7"/>
        <v>-100</v>
      </c>
    </row>
    <row r="106" spans="1:10" ht="20.100000000000001" hidden="1" customHeight="1">
      <c r="A106" s="180"/>
      <c r="B106" s="102" t="s">
        <v>995</v>
      </c>
      <c r="C106" s="103" t="s">
        <v>254</v>
      </c>
      <c r="D106" s="104">
        <v>1903000</v>
      </c>
      <c r="E106" s="104">
        <v>1903000</v>
      </c>
      <c r="F106" s="175">
        <f t="shared" si="8"/>
        <v>0</v>
      </c>
      <c r="G106" s="167">
        <f t="shared" si="8"/>
        <v>1903000</v>
      </c>
      <c r="H106" s="101" t="e">
        <f t="shared" si="7"/>
        <v>#VALUE!</v>
      </c>
      <c r="I106" s="101">
        <f t="shared" si="11"/>
        <v>-1903000</v>
      </c>
      <c r="J106" s="101">
        <f t="shared" si="7"/>
        <v>-100</v>
      </c>
    </row>
    <row r="107" spans="1:10" ht="20.100000000000001" hidden="1" customHeight="1">
      <c r="A107" s="180"/>
      <c r="B107" s="102" t="s">
        <v>996</v>
      </c>
      <c r="C107" s="103" t="s">
        <v>256</v>
      </c>
      <c r="D107" s="104">
        <v>12053000</v>
      </c>
      <c r="E107" s="104">
        <v>12053000</v>
      </c>
      <c r="F107" s="175">
        <f t="shared" si="8"/>
        <v>0</v>
      </c>
      <c r="G107" s="167">
        <f t="shared" si="8"/>
        <v>12053000</v>
      </c>
      <c r="H107" s="101" t="e">
        <f t="shared" si="7"/>
        <v>#VALUE!</v>
      </c>
      <c r="I107" s="101">
        <f t="shared" si="11"/>
        <v>-12053000</v>
      </c>
      <c r="J107" s="101">
        <f t="shared" si="7"/>
        <v>-100</v>
      </c>
    </row>
    <row r="108" spans="1:10" ht="20.100000000000001" customHeight="1">
      <c r="A108" s="178">
        <v>8</v>
      </c>
      <c r="B108" s="193" t="s">
        <v>997</v>
      </c>
      <c r="C108" s="195" t="s">
        <v>5</v>
      </c>
      <c r="D108" s="197">
        <f>SUM(D111:D112)</f>
        <v>43002000</v>
      </c>
      <c r="E108" s="197">
        <f>'rekap REALISASI REKO '!AB114</f>
        <v>42000000</v>
      </c>
      <c r="F108" s="199">
        <f>D108-E108</f>
        <v>1002000</v>
      </c>
      <c r="G108" s="201">
        <f>'rekap REALISASI REKO '!AQ114</f>
        <v>42000000</v>
      </c>
      <c r="H108" s="214">
        <f>G108/E108*100</f>
        <v>100</v>
      </c>
      <c r="I108" s="214">
        <f>E108-G108</f>
        <v>0</v>
      </c>
      <c r="J108" s="214">
        <f>I108/E108*100</f>
        <v>0</v>
      </c>
    </row>
    <row r="109" spans="1:10" ht="6.75" customHeight="1">
      <c r="A109" s="179"/>
      <c r="B109" s="194"/>
      <c r="C109" s="196"/>
      <c r="D109" s="198"/>
      <c r="E109" s="198"/>
      <c r="F109" s="200"/>
      <c r="G109" s="202"/>
      <c r="H109" s="215"/>
      <c r="I109" s="215"/>
      <c r="J109" s="215"/>
    </row>
    <row r="110" spans="1:10" ht="20.100000000000001" hidden="1" customHeight="1">
      <c r="A110" s="180"/>
      <c r="B110" s="102" t="s">
        <v>998</v>
      </c>
      <c r="C110" s="103" t="s">
        <v>143</v>
      </c>
      <c r="D110" s="104"/>
      <c r="E110" s="104">
        <v>43002000</v>
      </c>
      <c r="F110" s="175">
        <f t="shared" si="8"/>
        <v>-43002000</v>
      </c>
      <c r="G110" s="167">
        <f t="shared" si="8"/>
        <v>86004000</v>
      </c>
      <c r="H110" s="101" t="e">
        <f t="shared" si="7"/>
        <v>#VALUE!</v>
      </c>
      <c r="I110" s="101">
        <f>F110-G110</f>
        <v>-129006000</v>
      </c>
      <c r="J110" s="101">
        <f t="shared" si="7"/>
        <v>-300</v>
      </c>
    </row>
    <row r="111" spans="1:10" ht="20.100000000000001" hidden="1" customHeight="1">
      <c r="A111" s="180"/>
      <c r="B111" s="102" t="s">
        <v>999</v>
      </c>
      <c r="C111" s="103" t="s">
        <v>239</v>
      </c>
      <c r="D111" s="104"/>
      <c r="E111" s="104">
        <v>43002000</v>
      </c>
      <c r="F111" s="175">
        <f t="shared" si="8"/>
        <v>-43002000</v>
      </c>
      <c r="G111" s="167">
        <f t="shared" si="8"/>
        <v>86004000</v>
      </c>
      <c r="H111" s="101" t="e">
        <f t="shared" si="7"/>
        <v>#VALUE!</v>
      </c>
      <c r="I111" s="101">
        <f>F111-G111</f>
        <v>-129006000</v>
      </c>
      <c r="J111" s="101">
        <f t="shared" si="7"/>
        <v>-300</v>
      </c>
    </row>
    <row r="112" spans="1:10" ht="20.100000000000001" hidden="1" customHeight="1">
      <c r="A112" s="180"/>
      <c r="B112" s="102" t="s">
        <v>1000</v>
      </c>
      <c r="C112" s="103" t="s">
        <v>266</v>
      </c>
      <c r="D112" s="104">
        <v>43002000</v>
      </c>
      <c r="E112" s="104">
        <v>43002000</v>
      </c>
      <c r="F112" s="175">
        <f t="shared" si="8"/>
        <v>0</v>
      </c>
      <c r="G112" s="167">
        <f t="shared" si="8"/>
        <v>43002000</v>
      </c>
      <c r="H112" s="101" t="e">
        <f t="shared" si="7"/>
        <v>#VALUE!</v>
      </c>
      <c r="I112" s="101">
        <f>F112-G112</f>
        <v>-43002000</v>
      </c>
      <c r="J112" s="101">
        <f t="shared" si="7"/>
        <v>-100</v>
      </c>
    </row>
    <row r="113" spans="1:10" ht="20.100000000000001" customHeight="1">
      <c r="A113" s="178">
        <v>9</v>
      </c>
      <c r="B113" s="193" t="s">
        <v>1001</v>
      </c>
      <c r="C113" s="195" t="s">
        <v>268</v>
      </c>
      <c r="D113" s="197">
        <v>460897000</v>
      </c>
      <c r="E113" s="197">
        <f>'rekap REALISASI REKO '!AB118</f>
        <v>200000000</v>
      </c>
      <c r="F113" s="199">
        <f>D113-E113</f>
        <v>260897000</v>
      </c>
      <c r="G113" s="201">
        <v>15570000</v>
      </c>
      <c r="H113" s="214">
        <f>G113/E113*100</f>
        <v>7.7850000000000001</v>
      </c>
      <c r="I113" s="214">
        <f>E113-G113</f>
        <v>184430000</v>
      </c>
      <c r="J113" s="214">
        <f>I113/E113*100</f>
        <v>92.215000000000003</v>
      </c>
    </row>
    <row r="114" spans="1:10" ht="7.5" customHeight="1">
      <c r="A114" s="179"/>
      <c r="B114" s="194"/>
      <c r="C114" s="196"/>
      <c r="D114" s="198"/>
      <c r="E114" s="198"/>
      <c r="F114" s="200"/>
      <c r="G114" s="202"/>
      <c r="H114" s="215"/>
      <c r="I114" s="215"/>
      <c r="J114" s="215"/>
    </row>
    <row r="115" spans="1:10" ht="20.100000000000001" hidden="1" customHeight="1">
      <c r="A115" s="180"/>
      <c r="B115" s="102" t="s">
        <v>1002</v>
      </c>
      <c r="C115" s="103" t="s">
        <v>270</v>
      </c>
      <c r="D115" s="104"/>
      <c r="E115" s="104">
        <v>460897000</v>
      </c>
      <c r="F115" s="175">
        <f t="shared" si="8"/>
        <v>-460897000</v>
      </c>
      <c r="G115" s="167">
        <f t="shared" si="8"/>
        <v>921794000</v>
      </c>
      <c r="H115" s="101" t="e">
        <f t="shared" si="7"/>
        <v>#VALUE!</v>
      </c>
      <c r="I115" s="101">
        <f>F115-G115</f>
        <v>-1382691000</v>
      </c>
      <c r="J115" s="101">
        <f t="shared" si="7"/>
        <v>-300</v>
      </c>
    </row>
    <row r="116" spans="1:10" ht="20.100000000000001" hidden="1" customHeight="1">
      <c r="A116" s="180"/>
      <c r="B116" s="102" t="s">
        <v>1003</v>
      </c>
      <c r="C116" s="103" t="s">
        <v>272</v>
      </c>
      <c r="D116" s="104"/>
      <c r="E116" s="104">
        <v>460897000</v>
      </c>
      <c r="F116" s="175">
        <f t="shared" si="8"/>
        <v>-460897000</v>
      </c>
      <c r="G116" s="167">
        <f t="shared" si="8"/>
        <v>921794000</v>
      </c>
      <c r="H116" s="101" t="e">
        <f t="shared" si="7"/>
        <v>#VALUE!</v>
      </c>
      <c r="I116" s="101">
        <f>F116-G116</f>
        <v>-1382691000</v>
      </c>
      <c r="J116" s="101">
        <f t="shared" si="7"/>
        <v>-300</v>
      </c>
    </row>
    <row r="117" spans="1:10" ht="20.100000000000001" hidden="1" customHeight="1">
      <c r="A117" s="180"/>
      <c r="B117" s="102" t="s">
        <v>1004</v>
      </c>
      <c r="C117" s="103" t="s">
        <v>274</v>
      </c>
      <c r="D117" s="104">
        <v>460897000</v>
      </c>
      <c r="E117" s="104">
        <v>460897000</v>
      </c>
      <c r="F117" s="175">
        <f t="shared" si="8"/>
        <v>0</v>
      </c>
      <c r="G117" s="167">
        <f t="shared" si="8"/>
        <v>460897000</v>
      </c>
      <c r="H117" s="101" t="e">
        <f t="shared" si="7"/>
        <v>#VALUE!</v>
      </c>
      <c r="I117" s="101">
        <f>F117-G117</f>
        <v>-460897000</v>
      </c>
      <c r="J117" s="101">
        <f t="shared" si="7"/>
        <v>-100</v>
      </c>
    </row>
    <row r="118" spans="1:10" ht="20.100000000000001" customHeight="1">
      <c r="A118" s="176" t="s">
        <v>275</v>
      </c>
      <c r="B118" s="106" t="s">
        <v>1005</v>
      </c>
      <c r="C118" s="107" t="s">
        <v>277</v>
      </c>
      <c r="D118" s="108">
        <f>D119</f>
        <v>12508000</v>
      </c>
      <c r="E118" s="108">
        <f>E119</f>
        <v>12950000</v>
      </c>
      <c r="F118" s="177">
        <f t="shared" si="8"/>
        <v>-442000</v>
      </c>
      <c r="G118" s="169">
        <f>G119</f>
        <v>11823550</v>
      </c>
      <c r="H118" s="110">
        <f>G118/E118*100</f>
        <v>91.301544401544405</v>
      </c>
      <c r="I118" s="109">
        <f>I119</f>
        <v>1126450</v>
      </c>
      <c r="J118" s="110">
        <f t="shared" si="7"/>
        <v>8.6984555984555989</v>
      </c>
    </row>
    <row r="119" spans="1:10" ht="20.100000000000001" customHeight="1">
      <c r="A119" s="178">
        <v>10</v>
      </c>
      <c r="B119" s="193" t="s">
        <v>1006</v>
      </c>
      <c r="C119" s="195" t="s">
        <v>279</v>
      </c>
      <c r="D119" s="197">
        <f>SUM(D122:D134)</f>
        <v>12508000</v>
      </c>
      <c r="E119" s="197">
        <f>'rekap REALISASI REKO '!AB123</f>
        <v>12950000</v>
      </c>
      <c r="F119" s="199">
        <f>D119-E119</f>
        <v>-442000</v>
      </c>
      <c r="G119" s="201">
        <f>'rekap REALISASI REKO '!AQ123</f>
        <v>11823550</v>
      </c>
      <c r="H119" s="214">
        <f>G119/E119*100</f>
        <v>91.301544401544405</v>
      </c>
      <c r="I119" s="214">
        <f>E119-G119</f>
        <v>1126450</v>
      </c>
      <c r="J119" s="214">
        <f>I119/E119*100</f>
        <v>8.6984555984555989</v>
      </c>
    </row>
    <row r="120" spans="1:10" ht="4.5" customHeight="1">
      <c r="A120" s="179"/>
      <c r="B120" s="194"/>
      <c r="C120" s="196"/>
      <c r="D120" s="198"/>
      <c r="E120" s="198"/>
      <c r="F120" s="200"/>
      <c r="G120" s="202"/>
      <c r="H120" s="215"/>
      <c r="I120" s="215"/>
      <c r="J120" s="215"/>
    </row>
    <row r="121" spans="1:10" ht="20.100000000000001" hidden="1" customHeight="1">
      <c r="A121" s="180"/>
      <c r="B121" s="102" t="s">
        <v>1007</v>
      </c>
      <c r="C121" s="103" t="s">
        <v>10</v>
      </c>
      <c r="D121" s="104"/>
      <c r="E121" s="104">
        <v>8048000</v>
      </c>
      <c r="F121" s="175">
        <f t="shared" si="8"/>
        <v>-8048000</v>
      </c>
      <c r="G121" s="167">
        <f t="shared" si="8"/>
        <v>16096000</v>
      </c>
      <c r="H121" s="101" t="e">
        <f t="shared" si="7"/>
        <v>#VALUE!</v>
      </c>
      <c r="I121" s="101">
        <f t="shared" ref="I121:I134" si="12">F121-G121</f>
        <v>-24144000</v>
      </c>
      <c r="J121" s="101">
        <f t="shared" si="7"/>
        <v>-300</v>
      </c>
    </row>
    <row r="122" spans="1:10" ht="20.100000000000001" hidden="1" customHeight="1">
      <c r="A122" s="180"/>
      <c r="B122" s="102" t="s">
        <v>1008</v>
      </c>
      <c r="C122" s="103" t="s">
        <v>177</v>
      </c>
      <c r="D122" s="104"/>
      <c r="E122" s="104">
        <v>7800000</v>
      </c>
      <c r="F122" s="175">
        <f t="shared" si="8"/>
        <v>-7800000</v>
      </c>
      <c r="G122" s="167">
        <f t="shared" si="8"/>
        <v>15600000</v>
      </c>
      <c r="H122" s="101" t="e">
        <f t="shared" si="7"/>
        <v>#VALUE!</v>
      </c>
      <c r="I122" s="101">
        <f t="shared" si="12"/>
        <v>-23400000</v>
      </c>
      <c r="J122" s="101">
        <f t="shared" si="7"/>
        <v>-300</v>
      </c>
    </row>
    <row r="123" spans="1:10" ht="20.100000000000001" hidden="1" customHeight="1">
      <c r="A123" s="180"/>
      <c r="B123" s="102" t="s">
        <v>1009</v>
      </c>
      <c r="C123" s="103" t="s">
        <v>283</v>
      </c>
      <c r="D123" s="104">
        <v>7800000</v>
      </c>
      <c r="E123" s="104">
        <v>7800000</v>
      </c>
      <c r="F123" s="175">
        <f t="shared" si="8"/>
        <v>0</v>
      </c>
      <c r="G123" s="167">
        <f t="shared" si="8"/>
        <v>7800000</v>
      </c>
      <c r="H123" s="101" t="e">
        <f t="shared" si="7"/>
        <v>#VALUE!</v>
      </c>
      <c r="I123" s="101">
        <f t="shared" si="12"/>
        <v>-7800000</v>
      </c>
      <c r="J123" s="101">
        <f t="shared" si="7"/>
        <v>-100</v>
      </c>
    </row>
    <row r="124" spans="1:10" ht="20.100000000000001" hidden="1" customHeight="1">
      <c r="A124" s="180"/>
      <c r="B124" s="102" t="s">
        <v>1010</v>
      </c>
      <c r="C124" s="103" t="s">
        <v>181</v>
      </c>
      <c r="D124" s="104"/>
      <c r="E124" s="104">
        <v>248000</v>
      </c>
      <c r="F124" s="175">
        <f t="shared" si="8"/>
        <v>-248000</v>
      </c>
      <c r="G124" s="167">
        <f t="shared" si="8"/>
        <v>496000</v>
      </c>
      <c r="H124" s="101" t="e">
        <f t="shared" si="7"/>
        <v>#VALUE!</v>
      </c>
      <c r="I124" s="101">
        <f t="shared" si="12"/>
        <v>-744000</v>
      </c>
      <c r="J124" s="101">
        <f t="shared" si="7"/>
        <v>-300</v>
      </c>
    </row>
    <row r="125" spans="1:10" ht="20.100000000000001" hidden="1" customHeight="1">
      <c r="A125" s="180"/>
      <c r="B125" s="102" t="s">
        <v>1011</v>
      </c>
      <c r="C125" s="103" t="s">
        <v>183</v>
      </c>
      <c r="D125" s="104">
        <v>248000</v>
      </c>
      <c r="E125" s="104">
        <v>248000</v>
      </c>
      <c r="F125" s="175">
        <f t="shared" si="8"/>
        <v>0</v>
      </c>
      <c r="G125" s="167">
        <f t="shared" si="8"/>
        <v>248000</v>
      </c>
      <c r="H125" s="101" t="e">
        <f t="shared" si="7"/>
        <v>#VALUE!</v>
      </c>
      <c r="I125" s="101">
        <f t="shared" si="12"/>
        <v>-248000</v>
      </c>
      <c r="J125" s="101">
        <f t="shared" si="7"/>
        <v>-100</v>
      </c>
    </row>
    <row r="126" spans="1:10" ht="20.100000000000001" hidden="1" customHeight="1">
      <c r="A126" s="180"/>
      <c r="B126" s="102" t="s">
        <v>1012</v>
      </c>
      <c r="C126" s="103" t="s">
        <v>143</v>
      </c>
      <c r="D126" s="104"/>
      <c r="E126" s="104">
        <v>4460000</v>
      </c>
      <c r="F126" s="175">
        <f t="shared" si="8"/>
        <v>-4460000</v>
      </c>
      <c r="G126" s="167">
        <f t="shared" si="8"/>
        <v>8920000</v>
      </c>
      <c r="H126" s="101" t="e">
        <f t="shared" si="7"/>
        <v>#VALUE!</v>
      </c>
      <c r="I126" s="101">
        <f t="shared" si="12"/>
        <v>-13380000</v>
      </c>
      <c r="J126" s="101">
        <f t="shared" si="7"/>
        <v>-300</v>
      </c>
    </row>
    <row r="127" spans="1:10" ht="20.100000000000001" hidden="1" customHeight="1">
      <c r="A127" s="180"/>
      <c r="B127" s="102" t="s">
        <v>1013</v>
      </c>
      <c r="C127" s="103" t="s">
        <v>145</v>
      </c>
      <c r="D127" s="104"/>
      <c r="E127" s="104">
        <v>822000</v>
      </c>
      <c r="F127" s="175">
        <f t="shared" si="8"/>
        <v>-822000</v>
      </c>
      <c r="G127" s="167">
        <f t="shared" si="8"/>
        <v>1644000</v>
      </c>
      <c r="H127" s="101" t="e">
        <f t="shared" si="7"/>
        <v>#VALUE!</v>
      </c>
      <c r="I127" s="101">
        <f t="shared" si="12"/>
        <v>-2466000</v>
      </c>
      <c r="J127" s="101">
        <f t="shared" si="7"/>
        <v>-300</v>
      </c>
    </row>
    <row r="128" spans="1:10" ht="20.100000000000001" hidden="1" customHeight="1">
      <c r="A128" s="180"/>
      <c r="B128" s="102" t="s">
        <v>1014</v>
      </c>
      <c r="C128" s="103" t="s">
        <v>147</v>
      </c>
      <c r="D128" s="104">
        <v>822000</v>
      </c>
      <c r="E128" s="104">
        <v>822000</v>
      </c>
      <c r="F128" s="175">
        <f t="shared" si="8"/>
        <v>0</v>
      </c>
      <c r="G128" s="167">
        <f t="shared" si="8"/>
        <v>822000</v>
      </c>
      <c r="H128" s="101" t="e">
        <f t="shared" si="7"/>
        <v>#VALUE!</v>
      </c>
      <c r="I128" s="101">
        <f t="shared" si="12"/>
        <v>-822000</v>
      </c>
      <c r="J128" s="101">
        <f t="shared" si="7"/>
        <v>-100</v>
      </c>
    </row>
    <row r="129" spans="1:10" ht="20.100000000000001" hidden="1" customHeight="1">
      <c r="A129" s="180"/>
      <c r="B129" s="102" t="s">
        <v>1015</v>
      </c>
      <c r="C129" s="103" t="s">
        <v>151</v>
      </c>
      <c r="D129" s="104"/>
      <c r="E129" s="104">
        <v>46000</v>
      </c>
      <c r="F129" s="175">
        <f t="shared" si="8"/>
        <v>-46000</v>
      </c>
      <c r="G129" s="167">
        <f t="shared" si="8"/>
        <v>92000</v>
      </c>
      <c r="H129" s="101" t="e">
        <f t="shared" si="7"/>
        <v>#VALUE!</v>
      </c>
      <c r="I129" s="101">
        <f t="shared" si="12"/>
        <v>-138000</v>
      </c>
      <c r="J129" s="101">
        <f t="shared" si="7"/>
        <v>-300</v>
      </c>
    </row>
    <row r="130" spans="1:10" ht="20.100000000000001" hidden="1" customHeight="1">
      <c r="A130" s="180"/>
      <c r="B130" s="102" t="s">
        <v>1016</v>
      </c>
      <c r="C130" s="103" t="s">
        <v>155</v>
      </c>
      <c r="D130" s="104">
        <v>46000</v>
      </c>
      <c r="E130" s="104">
        <v>46000</v>
      </c>
      <c r="F130" s="175">
        <f t="shared" si="8"/>
        <v>0</v>
      </c>
      <c r="G130" s="167">
        <f t="shared" si="8"/>
        <v>46000</v>
      </c>
      <c r="H130" s="101" t="e">
        <f t="shared" si="7"/>
        <v>#VALUE!</v>
      </c>
      <c r="I130" s="101">
        <f t="shared" si="12"/>
        <v>-46000</v>
      </c>
      <c r="J130" s="101">
        <f t="shared" si="7"/>
        <v>-100</v>
      </c>
    </row>
    <row r="131" spans="1:10" ht="20.100000000000001" hidden="1" customHeight="1">
      <c r="A131" s="180"/>
      <c r="B131" s="102" t="s">
        <v>1017</v>
      </c>
      <c r="C131" s="103" t="s">
        <v>193</v>
      </c>
      <c r="D131" s="104"/>
      <c r="E131" s="104">
        <v>2592000</v>
      </c>
      <c r="F131" s="175">
        <f t="shared" si="8"/>
        <v>-2592000</v>
      </c>
      <c r="G131" s="167">
        <f t="shared" si="8"/>
        <v>5184000</v>
      </c>
      <c r="H131" s="101" t="e">
        <f t="shared" si="7"/>
        <v>#VALUE!</v>
      </c>
      <c r="I131" s="101">
        <f t="shared" si="12"/>
        <v>-7776000</v>
      </c>
      <c r="J131" s="101">
        <f t="shared" si="7"/>
        <v>-300</v>
      </c>
    </row>
    <row r="132" spans="1:10" ht="20.100000000000001" hidden="1" customHeight="1">
      <c r="A132" s="180"/>
      <c r="B132" s="102" t="s">
        <v>1018</v>
      </c>
      <c r="C132" s="103" t="s">
        <v>195</v>
      </c>
      <c r="D132" s="104">
        <v>2592000</v>
      </c>
      <c r="E132" s="104">
        <v>2592000</v>
      </c>
      <c r="F132" s="175">
        <f t="shared" si="8"/>
        <v>0</v>
      </c>
      <c r="G132" s="167">
        <f t="shared" si="8"/>
        <v>2592000</v>
      </c>
      <c r="H132" s="101" t="e">
        <f t="shared" si="7"/>
        <v>#VALUE!</v>
      </c>
      <c r="I132" s="101">
        <f t="shared" si="12"/>
        <v>-2592000</v>
      </c>
      <c r="J132" s="101">
        <f t="shared" si="7"/>
        <v>-100</v>
      </c>
    </row>
    <row r="133" spans="1:10" ht="20.100000000000001" hidden="1" customHeight="1">
      <c r="A133" s="180"/>
      <c r="B133" s="102" t="s">
        <v>1019</v>
      </c>
      <c r="C133" s="103" t="s">
        <v>157</v>
      </c>
      <c r="D133" s="104"/>
      <c r="E133" s="104">
        <v>1000000</v>
      </c>
      <c r="F133" s="175">
        <f t="shared" si="8"/>
        <v>-1000000</v>
      </c>
      <c r="G133" s="167">
        <f t="shared" si="8"/>
        <v>2000000</v>
      </c>
      <c r="H133" s="101" t="e">
        <f t="shared" si="7"/>
        <v>#VALUE!</v>
      </c>
      <c r="I133" s="101">
        <f t="shared" si="12"/>
        <v>-3000000</v>
      </c>
      <c r="J133" s="101">
        <f t="shared" si="7"/>
        <v>-300</v>
      </c>
    </row>
    <row r="134" spans="1:10" ht="20.100000000000001" hidden="1" customHeight="1">
      <c r="A134" s="180"/>
      <c r="B134" s="102" t="s">
        <v>1020</v>
      </c>
      <c r="C134" s="103" t="s">
        <v>207</v>
      </c>
      <c r="D134" s="104">
        <v>1000000</v>
      </c>
      <c r="E134" s="104">
        <v>1000000</v>
      </c>
      <c r="F134" s="175">
        <f t="shared" si="8"/>
        <v>0</v>
      </c>
      <c r="G134" s="167">
        <f t="shared" si="8"/>
        <v>1000000</v>
      </c>
      <c r="H134" s="101" t="e">
        <f t="shared" si="7"/>
        <v>#VALUE!</v>
      </c>
      <c r="I134" s="101">
        <f t="shared" si="12"/>
        <v>-1000000</v>
      </c>
      <c r="J134" s="101">
        <f t="shared" si="7"/>
        <v>-100</v>
      </c>
    </row>
    <row r="135" spans="1:10" ht="20.100000000000001" customHeight="1">
      <c r="A135" s="176" t="s">
        <v>293</v>
      </c>
      <c r="B135" s="106" t="s">
        <v>1021</v>
      </c>
      <c r="C135" s="107" t="s">
        <v>295</v>
      </c>
      <c r="D135" s="108">
        <f>D136</f>
        <v>24488000</v>
      </c>
      <c r="E135" s="108">
        <f>E136</f>
        <v>24000000</v>
      </c>
      <c r="F135" s="177">
        <f t="shared" si="8"/>
        <v>488000</v>
      </c>
      <c r="G135" s="169">
        <f>G136</f>
        <v>17443525</v>
      </c>
      <c r="H135" s="110">
        <f>G135/E135*100</f>
        <v>72.681354166666665</v>
      </c>
      <c r="I135" s="109">
        <f>I136</f>
        <v>6556475</v>
      </c>
      <c r="J135" s="110">
        <f t="shared" si="7"/>
        <v>27.318645833333331</v>
      </c>
    </row>
    <row r="136" spans="1:10" ht="20.100000000000001" customHeight="1">
      <c r="A136" s="178">
        <v>11</v>
      </c>
      <c r="B136" s="193" t="s">
        <v>1022</v>
      </c>
      <c r="C136" s="195" t="s">
        <v>297</v>
      </c>
      <c r="D136" s="197">
        <f>SUM(D140:D151)</f>
        <v>24488000</v>
      </c>
      <c r="E136" s="197">
        <f>'rekap REALISASI REKO '!AB137</f>
        <v>24000000</v>
      </c>
      <c r="F136" s="199">
        <f>D136-E136</f>
        <v>488000</v>
      </c>
      <c r="G136" s="201">
        <f>'rekap REALISASI REKO '!AQ137</f>
        <v>17443525</v>
      </c>
      <c r="H136" s="214">
        <f>G136/E136*100</f>
        <v>72.681354166666665</v>
      </c>
      <c r="I136" s="214">
        <f>E136-G136</f>
        <v>6556475</v>
      </c>
      <c r="J136" s="214">
        <f>I136/E136*100</f>
        <v>27.318645833333331</v>
      </c>
    </row>
    <row r="137" spans="1:10" ht="15" customHeight="1">
      <c r="A137" s="179"/>
      <c r="B137" s="194"/>
      <c r="C137" s="196"/>
      <c r="D137" s="198"/>
      <c r="E137" s="198"/>
      <c r="F137" s="200"/>
      <c r="G137" s="202"/>
      <c r="H137" s="215"/>
      <c r="I137" s="215"/>
      <c r="J137" s="215"/>
    </row>
    <row r="138" spans="1:10" ht="20.100000000000001" hidden="1" customHeight="1">
      <c r="A138" s="180"/>
      <c r="B138" s="102" t="s">
        <v>1023</v>
      </c>
      <c r="C138" s="103" t="s">
        <v>10</v>
      </c>
      <c r="D138" s="104"/>
      <c r="E138" s="104">
        <v>6000000</v>
      </c>
      <c r="F138" s="175">
        <f t="shared" si="8"/>
        <v>-6000000</v>
      </c>
      <c r="G138" s="167">
        <f t="shared" si="8"/>
        <v>12000000</v>
      </c>
      <c r="H138" s="101" t="e">
        <f t="shared" ref="H138:J201" si="13">G138/C138*100</f>
        <v>#VALUE!</v>
      </c>
      <c r="I138" s="101">
        <f t="shared" ref="I138:I151" si="14">F138-G138</f>
        <v>-18000000</v>
      </c>
      <c r="J138" s="101">
        <f t="shared" si="13"/>
        <v>-300</v>
      </c>
    </row>
    <row r="139" spans="1:10" ht="20.100000000000001" hidden="1" customHeight="1">
      <c r="A139" s="180"/>
      <c r="B139" s="102" t="s">
        <v>1024</v>
      </c>
      <c r="C139" s="103" t="s">
        <v>177</v>
      </c>
      <c r="D139" s="104"/>
      <c r="E139" s="104">
        <v>6000000</v>
      </c>
      <c r="F139" s="175">
        <f t="shared" ref="F139:G202" si="15">D139-E139</f>
        <v>-6000000</v>
      </c>
      <c r="G139" s="167">
        <f t="shared" si="15"/>
        <v>12000000</v>
      </c>
      <c r="H139" s="101" t="e">
        <f t="shared" si="13"/>
        <v>#VALUE!</v>
      </c>
      <c r="I139" s="101">
        <f t="shared" si="14"/>
        <v>-18000000</v>
      </c>
      <c r="J139" s="101">
        <f t="shared" si="13"/>
        <v>-300</v>
      </c>
    </row>
    <row r="140" spans="1:10" ht="20.100000000000001" hidden="1" customHeight="1">
      <c r="A140" s="180"/>
      <c r="B140" s="102" t="s">
        <v>1025</v>
      </c>
      <c r="C140" s="103" t="s">
        <v>283</v>
      </c>
      <c r="D140" s="104">
        <v>6000000</v>
      </c>
      <c r="E140" s="104">
        <v>6000000</v>
      </c>
      <c r="F140" s="175">
        <f t="shared" si="15"/>
        <v>0</v>
      </c>
      <c r="G140" s="167">
        <f t="shared" si="15"/>
        <v>6000000</v>
      </c>
      <c r="H140" s="101" t="e">
        <f t="shared" si="13"/>
        <v>#VALUE!</v>
      </c>
      <c r="I140" s="101">
        <f t="shared" si="14"/>
        <v>-6000000</v>
      </c>
      <c r="J140" s="101">
        <f t="shared" si="13"/>
        <v>-100</v>
      </c>
    </row>
    <row r="141" spans="1:10" ht="20.100000000000001" hidden="1" customHeight="1">
      <c r="A141" s="180"/>
      <c r="B141" s="102" t="s">
        <v>1026</v>
      </c>
      <c r="C141" s="103" t="s">
        <v>143</v>
      </c>
      <c r="D141" s="104"/>
      <c r="E141" s="104">
        <v>18488000</v>
      </c>
      <c r="F141" s="175">
        <f t="shared" si="15"/>
        <v>-18488000</v>
      </c>
      <c r="G141" s="167">
        <f t="shared" si="15"/>
        <v>36976000</v>
      </c>
      <c r="H141" s="101" t="e">
        <f t="shared" si="13"/>
        <v>#VALUE!</v>
      </c>
      <c r="I141" s="101">
        <f t="shared" si="14"/>
        <v>-55464000</v>
      </c>
      <c r="J141" s="101">
        <f t="shared" si="13"/>
        <v>-300</v>
      </c>
    </row>
    <row r="142" spans="1:10" ht="20.100000000000001" hidden="1" customHeight="1">
      <c r="A142" s="180"/>
      <c r="B142" s="102" t="s">
        <v>1027</v>
      </c>
      <c r="C142" s="103" t="s">
        <v>145</v>
      </c>
      <c r="D142" s="104"/>
      <c r="E142" s="104">
        <v>1699000</v>
      </c>
      <c r="F142" s="175">
        <f t="shared" si="15"/>
        <v>-1699000</v>
      </c>
      <c r="G142" s="167">
        <f t="shared" si="15"/>
        <v>3398000</v>
      </c>
      <c r="H142" s="101" t="e">
        <f t="shared" si="13"/>
        <v>#VALUE!</v>
      </c>
      <c r="I142" s="101">
        <f t="shared" si="14"/>
        <v>-5097000</v>
      </c>
      <c r="J142" s="101">
        <f t="shared" si="13"/>
        <v>-300</v>
      </c>
    </row>
    <row r="143" spans="1:10" ht="20.100000000000001" hidden="1" customHeight="1">
      <c r="A143" s="180"/>
      <c r="B143" s="102" t="s">
        <v>1028</v>
      </c>
      <c r="C143" s="103" t="s">
        <v>147</v>
      </c>
      <c r="D143" s="104">
        <v>1699000</v>
      </c>
      <c r="E143" s="104">
        <v>1699000</v>
      </c>
      <c r="F143" s="175">
        <f t="shared" si="15"/>
        <v>0</v>
      </c>
      <c r="G143" s="167">
        <f t="shared" si="15"/>
        <v>1699000</v>
      </c>
      <c r="H143" s="101" t="e">
        <f t="shared" si="13"/>
        <v>#VALUE!</v>
      </c>
      <c r="I143" s="101">
        <f t="shared" si="14"/>
        <v>-1699000</v>
      </c>
      <c r="J143" s="101">
        <f t="shared" si="13"/>
        <v>-100</v>
      </c>
    </row>
    <row r="144" spans="1:10" ht="20.100000000000001" hidden="1" customHeight="1">
      <c r="A144" s="180"/>
      <c r="B144" s="102" t="s">
        <v>1029</v>
      </c>
      <c r="C144" s="103" t="s">
        <v>151</v>
      </c>
      <c r="D144" s="104"/>
      <c r="E144" s="104">
        <v>2044000</v>
      </c>
      <c r="F144" s="175">
        <f t="shared" si="15"/>
        <v>-2044000</v>
      </c>
      <c r="G144" s="167">
        <f t="shared" si="15"/>
        <v>4088000</v>
      </c>
      <c r="H144" s="101" t="e">
        <f t="shared" si="13"/>
        <v>#VALUE!</v>
      </c>
      <c r="I144" s="101">
        <f t="shared" si="14"/>
        <v>-6132000</v>
      </c>
      <c r="J144" s="101">
        <f t="shared" si="13"/>
        <v>-300</v>
      </c>
    </row>
    <row r="145" spans="1:10" ht="20.100000000000001" hidden="1" customHeight="1">
      <c r="A145" s="180"/>
      <c r="B145" s="102" t="s">
        <v>1030</v>
      </c>
      <c r="C145" s="103" t="s">
        <v>155</v>
      </c>
      <c r="D145" s="104">
        <v>1864000</v>
      </c>
      <c r="E145" s="104">
        <v>1864000</v>
      </c>
      <c r="F145" s="175">
        <f t="shared" si="15"/>
        <v>0</v>
      </c>
      <c r="G145" s="167">
        <f t="shared" si="15"/>
        <v>1864000</v>
      </c>
      <c r="H145" s="101" t="e">
        <f t="shared" si="13"/>
        <v>#VALUE!</v>
      </c>
      <c r="I145" s="101">
        <f t="shared" si="14"/>
        <v>-1864000</v>
      </c>
      <c r="J145" s="101">
        <f t="shared" si="13"/>
        <v>-100</v>
      </c>
    </row>
    <row r="146" spans="1:10" ht="20.100000000000001" hidden="1" customHeight="1">
      <c r="A146" s="180"/>
      <c r="B146" s="102" t="s">
        <v>1031</v>
      </c>
      <c r="C146" s="103" t="s">
        <v>309</v>
      </c>
      <c r="D146" s="104">
        <v>180000</v>
      </c>
      <c r="E146" s="104">
        <v>180000</v>
      </c>
      <c r="F146" s="175">
        <f t="shared" si="15"/>
        <v>0</v>
      </c>
      <c r="G146" s="167">
        <f t="shared" si="15"/>
        <v>180000</v>
      </c>
      <c r="H146" s="101" t="e">
        <f t="shared" si="13"/>
        <v>#VALUE!</v>
      </c>
      <c r="I146" s="101">
        <f t="shared" si="14"/>
        <v>-180000</v>
      </c>
      <c r="J146" s="101">
        <f t="shared" si="13"/>
        <v>-100</v>
      </c>
    </row>
    <row r="147" spans="1:10" ht="20.100000000000001" hidden="1" customHeight="1">
      <c r="A147" s="180"/>
      <c r="B147" s="102" t="s">
        <v>1032</v>
      </c>
      <c r="C147" s="103" t="s">
        <v>193</v>
      </c>
      <c r="D147" s="104"/>
      <c r="E147" s="104">
        <v>3645000</v>
      </c>
      <c r="F147" s="175">
        <f t="shared" si="15"/>
        <v>-3645000</v>
      </c>
      <c r="G147" s="167">
        <f t="shared" si="15"/>
        <v>7290000</v>
      </c>
      <c r="H147" s="101" t="e">
        <f t="shared" si="13"/>
        <v>#VALUE!</v>
      </c>
      <c r="I147" s="101">
        <f t="shared" si="14"/>
        <v>-10935000</v>
      </c>
      <c r="J147" s="101">
        <f t="shared" si="13"/>
        <v>-300</v>
      </c>
    </row>
    <row r="148" spans="1:10" ht="20.100000000000001" hidden="1" customHeight="1">
      <c r="A148" s="180"/>
      <c r="B148" s="102" t="s">
        <v>1033</v>
      </c>
      <c r="C148" s="103" t="s">
        <v>195</v>
      </c>
      <c r="D148" s="104">
        <v>3645000</v>
      </c>
      <c r="E148" s="104">
        <v>3645000</v>
      </c>
      <c r="F148" s="175">
        <f t="shared" si="15"/>
        <v>0</v>
      </c>
      <c r="G148" s="167">
        <f t="shared" si="15"/>
        <v>3645000</v>
      </c>
      <c r="H148" s="101" t="e">
        <f t="shared" si="13"/>
        <v>#VALUE!</v>
      </c>
      <c r="I148" s="101">
        <f t="shared" si="14"/>
        <v>-3645000</v>
      </c>
      <c r="J148" s="101">
        <f t="shared" si="13"/>
        <v>-100</v>
      </c>
    </row>
    <row r="149" spans="1:10" ht="20.100000000000001" hidden="1" customHeight="1">
      <c r="A149" s="180"/>
      <c r="B149" s="102" t="s">
        <v>1034</v>
      </c>
      <c r="C149" s="103" t="s">
        <v>157</v>
      </c>
      <c r="D149" s="104"/>
      <c r="E149" s="104">
        <v>11100000</v>
      </c>
      <c r="F149" s="175">
        <f t="shared" si="15"/>
        <v>-11100000</v>
      </c>
      <c r="G149" s="167">
        <f t="shared" si="15"/>
        <v>22200000</v>
      </c>
      <c r="H149" s="101" t="e">
        <f t="shared" si="13"/>
        <v>#VALUE!</v>
      </c>
      <c r="I149" s="101">
        <f t="shared" si="14"/>
        <v>-33300000</v>
      </c>
      <c r="J149" s="101">
        <f t="shared" si="13"/>
        <v>-300</v>
      </c>
    </row>
    <row r="150" spans="1:10" ht="20.100000000000001" hidden="1" customHeight="1">
      <c r="A150" s="180"/>
      <c r="B150" s="102" t="s">
        <v>1035</v>
      </c>
      <c r="C150" s="103" t="s">
        <v>159</v>
      </c>
      <c r="D150" s="104">
        <v>5450000</v>
      </c>
      <c r="E150" s="104">
        <v>5450000</v>
      </c>
      <c r="F150" s="175">
        <f t="shared" si="15"/>
        <v>0</v>
      </c>
      <c r="G150" s="167">
        <f t="shared" si="15"/>
        <v>5450000</v>
      </c>
      <c r="H150" s="101" t="e">
        <f t="shared" si="13"/>
        <v>#VALUE!</v>
      </c>
      <c r="I150" s="101">
        <f t="shared" si="14"/>
        <v>-5450000</v>
      </c>
      <c r="J150" s="101">
        <f t="shared" si="13"/>
        <v>-100</v>
      </c>
    </row>
    <row r="151" spans="1:10" ht="20.100000000000001" hidden="1" customHeight="1">
      <c r="A151" s="180"/>
      <c r="B151" s="102" t="s">
        <v>1036</v>
      </c>
      <c r="C151" s="103" t="s">
        <v>207</v>
      </c>
      <c r="D151" s="104">
        <v>5650000</v>
      </c>
      <c r="E151" s="104">
        <v>5650000</v>
      </c>
      <c r="F151" s="175">
        <f t="shared" si="15"/>
        <v>0</v>
      </c>
      <c r="G151" s="167">
        <f t="shared" si="15"/>
        <v>5650000</v>
      </c>
      <c r="H151" s="101" t="e">
        <f t="shared" si="13"/>
        <v>#VALUE!</v>
      </c>
      <c r="I151" s="101">
        <f t="shared" si="14"/>
        <v>-5650000</v>
      </c>
      <c r="J151" s="101">
        <f t="shared" si="13"/>
        <v>-100</v>
      </c>
    </row>
    <row r="152" spans="1:10" ht="20.100000000000001" customHeight="1">
      <c r="A152" s="181" t="s">
        <v>316</v>
      </c>
      <c r="B152" s="106" t="s">
        <v>1037</v>
      </c>
      <c r="C152" s="107" t="s">
        <v>364</v>
      </c>
      <c r="D152" s="108">
        <f>D153+D162+D184+D189</f>
        <v>988012000</v>
      </c>
      <c r="E152" s="108">
        <f>E153+E162+E184+E189</f>
        <v>947000000</v>
      </c>
      <c r="F152" s="177">
        <f t="shared" si="15"/>
        <v>41012000</v>
      </c>
      <c r="G152" s="169">
        <f>G153+G162+G184+G189</f>
        <v>379021075</v>
      </c>
      <c r="H152" s="110">
        <f>G152/E152*100</f>
        <v>40.02334477296727</v>
      </c>
      <c r="I152" s="109">
        <f>I153+I162+I184+I189</f>
        <v>567978925</v>
      </c>
      <c r="J152" s="110">
        <f t="shared" si="13"/>
        <v>59.976655227032737</v>
      </c>
    </row>
    <row r="153" spans="1:10" ht="20.100000000000001" customHeight="1">
      <c r="A153" s="178">
        <v>12</v>
      </c>
      <c r="B153" s="193" t="s">
        <v>1038</v>
      </c>
      <c r="C153" s="195" t="s">
        <v>366</v>
      </c>
      <c r="D153" s="197">
        <f>SUM(D157:D161)</f>
        <v>87000000</v>
      </c>
      <c r="E153" s="197">
        <f>'rekap REALISASI REKO '!AB193</f>
        <v>50000000</v>
      </c>
      <c r="F153" s="199">
        <f>D153-E153</f>
        <v>37000000</v>
      </c>
      <c r="G153" s="201">
        <f>'rekap REALISASI REKO '!AQ193</f>
        <v>49321100</v>
      </c>
      <c r="H153" s="214">
        <f>G153/E153*100</f>
        <v>98.642200000000003</v>
      </c>
      <c r="I153" s="214">
        <f>E153-G153</f>
        <v>678900</v>
      </c>
      <c r="J153" s="214">
        <f>I153/E153*100</f>
        <v>1.3577999999999999</v>
      </c>
    </row>
    <row r="154" spans="1:10" ht="20.100000000000001" customHeight="1">
      <c r="A154" s="179"/>
      <c r="B154" s="194"/>
      <c r="C154" s="196"/>
      <c r="D154" s="198"/>
      <c r="E154" s="198"/>
      <c r="F154" s="200"/>
      <c r="G154" s="202"/>
      <c r="H154" s="215"/>
      <c r="I154" s="215"/>
      <c r="J154" s="215"/>
    </row>
    <row r="155" spans="1:10" ht="20.100000000000001" hidden="1" customHeight="1">
      <c r="A155" s="180"/>
      <c r="B155" s="102" t="s">
        <v>1039</v>
      </c>
      <c r="C155" s="103" t="s">
        <v>270</v>
      </c>
      <c r="D155" s="104"/>
      <c r="E155" s="104">
        <v>87000000</v>
      </c>
      <c r="F155" s="175">
        <f t="shared" si="15"/>
        <v>-87000000</v>
      </c>
      <c r="G155" s="167">
        <f t="shared" si="15"/>
        <v>174000000</v>
      </c>
      <c r="H155" s="101" t="e">
        <f t="shared" si="13"/>
        <v>#VALUE!</v>
      </c>
      <c r="I155" s="101">
        <f t="shared" ref="I155:I161" si="16">F155-G155</f>
        <v>-261000000</v>
      </c>
      <c r="J155" s="101">
        <f t="shared" si="13"/>
        <v>-300</v>
      </c>
    </row>
    <row r="156" spans="1:10" ht="20.100000000000001" hidden="1" customHeight="1">
      <c r="A156" s="180"/>
      <c r="B156" s="102" t="s">
        <v>1040</v>
      </c>
      <c r="C156" s="103" t="s">
        <v>1041</v>
      </c>
      <c r="D156" s="104"/>
      <c r="E156" s="104">
        <v>57000000</v>
      </c>
      <c r="F156" s="175">
        <f t="shared" si="15"/>
        <v>-57000000</v>
      </c>
      <c r="G156" s="167">
        <f t="shared" si="15"/>
        <v>114000000</v>
      </c>
      <c r="H156" s="101" t="e">
        <f t="shared" si="13"/>
        <v>#VALUE!</v>
      </c>
      <c r="I156" s="101">
        <f t="shared" si="16"/>
        <v>-171000000</v>
      </c>
      <c r="J156" s="101">
        <f t="shared" si="13"/>
        <v>-300</v>
      </c>
    </row>
    <row r="157" spans="1:10" ht="20.100000000000001" hidden="1" customHeight="1">
      <c r="A157" s="180"/>
      <c r="B157" s="102" t="s">
        <v>1042</v>
      </c>
      <c r="C157" s="103" t="s">
        <v>375</v>
      </c>
      <c r="D157" s="104">
        <v>47520000</v>
      </c>
      <c r="E157" s="104">
        <v>47520000</v>
      </c>
      <c r="F157" s="175">
        <f t="shared" si="15"/>
        <v>0</v>
      </c>
      <c r="G157" s="167">
        <f t="shared" si="15"/>
        <v>47520000</v>
      </c>
      <c r="H157" s="101" t="e">
        <f t="shared" si="13"/>
        <v>#VALUE!</v>
      </c>
      <c r="I157" s="101">
        <f t="shared" si="16"/>
        <v>-47520000</v>
      </c>
      <c r="J157" s="101">
        <f t="shared" si="13"/>
        <v>-100</v>
      </c>
    </row>
    <row r="158" spans="1:10" ht="20.100000000000001" hidden="1" customHeight="1">
      <c r="A158" s="180"/>
      <c r="B158" s="102" t="s">
        <v>1043</v>
      </c>
      <c r="C158" s="103" t="s">
        <v>377</v>
      </c>
      <c r="D158" s="104">
        <v>3120000</v>
      </c>
      <c r="E158" s="104">
        <v>3120000</v>
      </c>
      <c r="F158" s="175">
        <f t="shared" si="15"/>
        <v>0</v>
      </c>
      <c r="G158" s="167">
        <f t="shared" si="15"/>
        <v>3120000</v>
      </c>
      <c r="H158" s="101" t="e">
        <f t="shared" si="13"/>
        <v>#VALUE!</v>
      </c>
      <c r="I158" s="101">
        <f t="shared" si="16"/>
        <v>-3120000</v>
      </c>
      <c r="J158" s="101">
        <f t="shared" si="13"/>
        <v>-100</v>
      </c>
    </row>
    <row r="159" spans="1:10" ht="20.100000000000001" hidden="1" customHeight="1">
      <c r="A159" s="180"/>
      <c r="B159" s="102" t="s">
        <v>1044</v>
      </c>
      <c r="C159" s="103" t="s">
        <v>1045</v>
      </c>
      <c r="D159" s="104">
        <v>6360000</v>
      </c>
      <c r="E159" s="104">
        <v>6360000</v>
      </c>
      <c r="F159" s="175">
        <f t="shared" si="15"/>
        <v>0</v>
      </c>
      <c r="G159" s="167">
        <f t="shared" si="15"/>
        <v>6360000</v>
      </c>
      <c r="H159" s="101" t="e">
        <f t="shared" si="13"/>
        <v>#VALUE!</v>
      </c>
      <c r="I159" s="101">
        <f t="shared" si="16"/>
        <v>-6360000</v>
      </c>
      <c r="J159" s="101">
        <f t="shared" si="13"/>
        <v>-100</v>
      </c>
    </row>
    <row r="160" spans="1:10" ht="20.100000000000001" hidden="1" customHeight="1">
      <c r="A160" s="180"/>
      <c r="B160" s="102" t="s">
        <v>1046</v>
      </c>
      <c r="C160" s="103" t="s">
        <v>629</v>
      </c>
      <c r="D160" s="104"/>
      <c r="E160" s="104">
        <v>30000000</v>
      </c>
      <c r="F160" s="175">
        <f t="shared" si="15"/>
        <v>-30000000</v>
      </c>
      <c r="G160" s="167">
        <f t="shared" si="15"/>
        <v>60000000</v>
      </c>
      <c r="H160" s="101" t="e">
        <f t="shared" si="13"/>
        <v>#VALUE!</v>
      </c>
      <c r="I160" s="101">
        <f t="shared" si="16"/>
        <v>-90000000</v>
      </c>
      <c r="J160" s="101">
        <f t="shared" si="13"/>
        <v>-300</v>
      </c>
    </row>
    <row r="161" spans="1:10" ht="31.5" hidden="1" customHeight="1">
      <c r="A161" s="180"/>
      <c r="B161" s="102" t="s">
        <v>1047</v>
      </c>
      <c r="C161" s="103" t="s">
        <v>631</v>
      </c>
      <c r="D161" s="104">
        <v>30000000</v>
      </c>
      <c r="E161" s="104">
        <v>30000000</v>
      </c>
      <c r="F161" s="175">
        <f t="shared" si="15"/>
        <v>0</v>
      </c>
      <c r="G161" s="167">
        <f t="shared" si="15"/>
        <v>30000000</v>
      </c>
      <c r="H161" s="101" t="e">
        <f t="shared" si="13"/>
        <v>#VALUE!</v>
      </c>
      <c r="I161" s="101">
        <f t="shared" si="16"/>
        <v>-30000000</v>
      </c>
      <c r="J161" s="101">
        <f t="shared" si="13"/>
        <v>-100</v>
      </c>
    </row>
    <row r="162" spans="1:10" ht="15" customHeight="1">
      <c r="A162" s="178">
        <v>13</v>
      </c>
      <c r="B162" s="193" t="s">
        <v>1048</v>
      </c>
      <c r="C162" s="195" t="s">
        <v>1049</v>
      </c>
      <c r="D162" s="197">
        <f>SUM(D166:D183)</f>
        <v>307567000</v>
      </c>
      <c r="E162" s="197">
        <f>'rekap REALISASI REKO '!AB200</f>
        <v>247000000</v>
      </c>
      <c r="F162" s="199">
        <f>D162-E162</f>
        <v>60567000</v>
      </c>
      <c r="G162" s="201">
        <f>'rekap REALISASI REKO '!AQ200</f>
        <v>220455800</v>
      </c>
      <c r="H162" s="214">
        <f>G162/E162*100</f>
        <v>89.253360323886639</v>
      </c>
      <c r="I162" s="214">
        <f>E162-G162</f>
        <v>26544200</v>
      </c>
      <c r="J162" s="214">
        <f>I162/E162*100</f>
        <v>10.746639676113361</v>
      </c>
    </row>
    <row r="163" spans="1:10" ht="9.75" customHeight="1">
      <c r="A163" s="179"/>
      <c r="B163" s="194"/>
      <c r="C163" s="196"/>
      <c r="D163" s="198"/>
      <c r="E163" s="198"/>
      <c r="F163" s="200"/>
      <c r="G163" s="202"/>
      <c r="H163" s="215"/>
      <c r="I163" s="215"/>
      <c r="J163" s="215"/>
    </row>
    <row r="164" spans="1:10" ht="20.100000000000001" hidden="1" customHeight="1">
      <c r="A164" s="180"/>
      <c r="B164" s="102" t="s">
        <v>1050</v>
      </c>
      <c r="C164" s="103" t="s">
        <v>10</v>
      </c>
      <c r="D164" s="104"/>
      <c r="E164" s="104">
        <v>8860000</v>
      </c>
      <c r="F164" s="175">
        <f t="shared" si="15"/>
        <v>-8860000</v>
      </c>
      <c r="G164" s="167">
        <f t="shared" si="15"/>
        <v>17720000</v>
      </c>
      <c r="H164" s="101" t="e">
        <f t="shared" si="13"/>
        <v>#VALUE!</v>
      </c>
      <c r="I164" s="101">
        <f t="shared" ref="I164:I183" si="17">F164-G164</f>
        <v>-26580000</v>
      </c>
      <c r="J164" s="101">
        <f t="shared" si="13"/>
        <v>-300</v>
      </c>
    </row>
    <row r="165" spans="1:10" ht="20.100000000000001" hidden="1" customHeight="1">
      <c r="A165" s="180"/>
      <c r="B165" s="102" t="s">
        <v>1051</v>
      </c>
      <c r="C165" s="103" t="s">
        <v>177</v>
      </c>
      <c r="D165" s="104"/>
      <c r="E165" s="104">
        <v>8860000</v>
      </c>
      <c r="F165" s="175">
        <f t="shared" si="15"/>
        <v>-8860000</v>
      </c>
      <c r="G165" s="167">
        <f t="shared" si="15"/>
        <v>17720000</v>
      </c>
      <c r="H165" s="101" t="e">
        <f t="shared" si="13"/>
        <v>#VALUE!</v>
      </c>
      <c r="I165" s="101">
        <f t="shared" si="17"/>
        <v>-26580000</v>
      </c>
      <c r="J165" s="101">
        <f t="shared" si="13"/>
        <v>-300</v>
      </c>
    </row>
    <row r="166" spans="1:10" ht="20.100000000000001" hidden="1" customHeight="1">
      <c r="A166" s="180"/>
      <c r="B166" s="102" t="s">
        <v>1052</v>
      </c>
      <c r="C166" s="103" t="s">
        <v>283</v>
      </c>
      <c r="D166" s="104">
        <v>7050000</v>
      </c>
      <c r="E166" s="104">
        <v>7050000</v>
      </c>
      <c r="F166" s="175">
        <f t="shared" si="15"/>
        <v>0</v>
      </c>
      <c r="G166" s="167">
        <f t="shared" si="15"/>
        <v>7050000</v>
      </c>
      <c r="H166" s="101" t="e">
        <f t="shared" si="13"/>
        <v>#VALUE!</v>
      </c>
      <c r="I166" s="101">
        <f t="shared" si="17"/>
        <v>-7050000</v>
      </c>
      <c r="J166" s="101">
        <f t="shared" si="13"/>
        <v>-100</v>
      </c>
    </row>
    <row r="167" spans="1:10" ht="20.100000000000001" hidden="1" customHeight="1">
      <c r="A167" s="180"/>
      <c r="B167" s="102" t="s">
        <v>1053</v>
      </c>
      <c r="C167" s="103" t="s">
        <v>384</v>
      </c>
      <c r="D167" s="104">
        <v>1810000</v>
      </c>
      <c r="E167" s="104">
        <v>1810000</v>
      </c>
      <c r="F167" s="175">
        <f t="shared" si="15"/>
        <v>0</v>
      </c>
      <c r="G167" s="167">
        <f t="shared" si="15"/>
        <v>1810000</v>
      </c>
      <c r="H167" s="101" t="e">
        <f t="shared" si="13"/>
        <v>#VALUE!</v>
      </c>
      <c r="I167" s="101">
        <f t="shared" si="17"/>
        <v>-1810000</v>
      </c>
      <c r="J167" s="101">
        <f t="shared" si="13"/>
        <v>-100</v>
      </c>
    </row>
    <row r="168" spans="1:10" ht="20.100000000000001" hidden="1" customHeight="1">
      <c r="A168" s="180"/>
      <c r="B168" s="102" t="s">
        <v>1054</v>
      </c>
      <c r="C168" s="103" t="s">
        <v>143</v>
      </c>
      <c r="D168" s="104"/>
      <c r="E168" s="104">
        <v>298707000</v>
      </c>
      <c r="F168" s="175">
        <f t="shared" si="15"/>
        <v>-298707000</v>
      </c>
      <c r="G168" s="167">
        <f t="shared" si="15"/>
        <v>597414000</v>
      </c>
      <c r="H168" s="101" t="e">
        <f t="shared" si="13"/>
        <v>#VALUE!</v>
      </c>
      <c r="I168" s="101">
        <f t="shared" si="17"/>
        <v>-896121000</v>
      </c>
      <c r="J168" s="101">
        <f t="shared" si="13"/>
        <v>-300</v>
      </c>
    </row>
    <row r="169" spans="1:10" ht="20.100000000000001" hidden="1" customHeight="1">
      <c r="A169" s="180"/>
      <c r="B169" s="102" t="s">
        <v>1055</v>
      </c>
      <c r="C169" s="103" t="s">
        <v>145</v>
      </c>
      <c r="D169" s="104"/>
      <c r="E169" s="104">
        <v>6770000</v>
      </c>
      <c r="F169" s="175">
        <f t="shared" si="15"/>
        <v>-6770000</v>
      </c>
      <c r="G169" s="167">
        <f t="shared" si="15"/>
        <v>13540000</v>
      </c>
      <c r="H169" s="101" t="e">
        <f t="shared" si="13"/>
        <v>#VALUE!</v>
      </c>
      <c r="I169" s="101">
        <f t="shared" si="17"/>
        <v>-20310000</v>
      </c>
      <c r="J169" s="101">
        <f t="shared" si="13"/>
        <v>-300</v>
      </c>
    </row>
    <row r="170" spans="1:10" ht="20.100000000000001" hidden="1" customHeight="1">
      <c r="A170" s="180"/>
      <c r="B170" s="102" t="s">
        <v>1056</v>
      </c>
      <c r="C170" s="103" t="s">
        <v>147</v>
      </c>
      <c r="D170" s="104">
        <v>6770000</v>
      </c>
      <c r="E170" s="104">
        <v>6770000</v>
      </c>
      <c r="F170" s="175">
        <f t="shared" si="15"/>
        <v>0</v>
      </c>
      <c r="G170" s="167">
        <f t="shared" si="15"/>
        <v>6770000</v>
      </c>
      <c r="H170" s="101" t="e">
        <f t="shared" si="13"/>
        <v>#VALUE!</v>
      </c>
      <c r="I170" s="101">
        <f t="shared" si="17"/>
        <v>-6770000</v>
      </c>
      <c r="J170" s="101">
        <f t="shared" si="13"/>
        <v>-100</v>
      </c>
    </row>
    <row r="171" spans="1:10" ht="20.100000000000001" hidden="1" customHeight="1">
      <c r="A171" s="180"/>
      <c r="B171" s="102" t="s">
        <v>1057</v>
      </c>
      <c r="C171" s="103" t="s">
        <v>389</v>
      </c>
      <c r="D171" s="104"/>
      <c r="E171" s="104">
        <v>182817000</v>
      </c>
      <c r="F171" s="175">
        <f t="shared" si="15"/>
        <v>-182817000</v>
      </c>
      <c r="G171" s="167">
        <f t="shared" si="15"/>
        <v>365634000</v>
      </c>
      <c r="H171" s="101" t="e">
        <f t="shared" si="13"/>
        <v>#VALUE!</v>
      </c>
      <c r="I171" s="101">
        <f t="shared" si="17"/>
        <v>-548451000</v>
      </c>
      <c r="J171" s="101">
        <f t="shared" si="13"/>
        <v>-300</v>
      </c>
    </row>
    <row r="172" spans="1:10" ht="20.100000000000001" hidden="1" customHeight="1">
      <c r="A172" s="180"/>
      <c r="B172" s="102" t="s">
        <v>1058</v>
      </c>
      <c r="C172" s="103" t="s">
        <v>391</v>
      </c>
      <c r="D172" s="104">
        <v>182817000</v>
      </c>
      <c r="E172" s="104">
        <v>182817000</v>
      </c>
      <c r="F172" s="175">
        <f t="shared" si="15"/>
        <v>0</v>
      </c>
      <c r="G172" s="167">
        <f t="shared" si="15"/>
        <v>182817000</v>
      </c>
      <c r="H172" s="101" t="e">
        <f t="shared" si="13"/>
        <v>#VALUE!</v>
      </c>
      <c r="I172" s="101">
        <f t="shared" si="17"/>
        <v>-182817000</v>
      </c>
      <c r="J172" s="101">
        <f t="shared" si="13"/>
        <v>-100</v>
      </c>
    </row>
    <row r="173" spans="1:10" ht="20.100000000000001" hidden="1" customHeight="1">
      <c r="A173" s="180"/>
      <c r="B173" s="102" t="s">
        <v>1059</v>
      </c>
      <c r="C173" s="103" t="s">
        <v>163</v>
      </c>
      <c r="D173" s="104"/>
      <c r="E173" s="104">
        <v>30000000</v>
      </c>
      <c r="F173" s="175">
        <f t="shared" si="15"/>
        <v>-30000000</v>
      </c>
      <c r="G173" s="167">
        <f t="shared" si="15"/>
        <v>60000000</v>
      </c>
      <c r="H173" s="101" t="e">
        <f t="shared" si="13"/>
        <v>#VALUE!</v>
      </c>
      <c r="I173" s="101">
        <f t="shared" si="17"/>
        <v>-90000000</v>
      </c>
      <c r="J173" s="101">
        <f t="shared" si="13"/>
        <v>-300</v>
      </c>
    </row>
    <row r="174" spans="1:10" ht="20.100000000000001" hidden="1" customHeight="1">
      <c r="A174" s="180"/>
      <c r="B174" s="102" t="s">
        <v>1060</v>
      </c>
      <c r="C174" s="103" t="s">
        <v>352</v>
      </c>
      <c r="D174" s="104">
        <v>30000000</v>
      </c>
      <c r="E174" s="104">
        <v>30000000</v>
      </c>
      <c r="F174" s="175">
        <f t="shared" si="15"/>
        <v>0</v>
      </c>
      <c r="G174" s="167">
        <f t="shared" si="15"/>
        <v>30000000</v>
      </c>
      <c r="H174" s="101" t="e">
        <f t="shared" si="13"/>
        <v>#VALUE!</v>
      </c>
      <c r="I174" s="101">
        <f t="shared" si="17"/>
        <v>-30000000</v>
      </c>
      <c r="J174" s="101">
        <f t="shared" si="13"/>
        <v>-100</v>
      </c>
    </row>
    <row r="175" spans="1:10" ht="20.100000000000001" hidden="1" customHeight="1">
      <c r="A175" s="180"/>
      <c r="B175" s="102" t="s">
        <v>1061</v>
      </c>
      <c r="C175" s="103" t="s">
        <v>151</v>
      </c>
      <c r="D175" s="104"/>
      <c r="E175" s="104">
        <v>6375000</v>
      </c>
      <c r="F175" s="175">
        <f t="shared" si="15"/>
        <v>-6375000</v>
      </c>
      <c r="G175" s="167">
        <f t="shared" si="15"/>
        <v>12750000</v>
      </c>
      <c r="H175" s="101" t="e">
        <f t="shared" si="13"/>
        <v>#VALUE!</v>
      </c>
      <c r="I175" s="101">
        <f t="shared" si="17"/>
        <v>-19125000</v>
      </c>
      <c r="J175" s="101">
        <f t="shared" si="13"/>
        <v>-300</v>
      </c>
    </row>
    <row r="176" spans="1:10" ht="20.100000000000001" hidden="1" customHeight="1">
      <c r="A176" s="180"/>
      <c r="B176" s="102" t="s">
        <v>1062</v>
      </c>
      <c r="C176" s="103" t="s">
        <v>153</v>
      </c>
      <c r="D176" s="104">
        <v>4091000</v>
      </c>
      <c r="E176" s="104">
        <v>4091000</v>
      </c>
      <c r="F176" s="175">
        <f t="shared" si="15"/>
        <v>0</v>
      </c>
      <c r="G176" s="167">
        <f t="shared" si="15"/>
        <v>4091000</v>
      </c>
      <c r="H176" s="101" t="e">
        <f t="shared" si="13"/>
        <v>#VALUE!</v>
      </c>
      <c r="I176" s="101">
        <f t="shared" si="17"/>
        <v>-4091000</v>
      </c>
      <c r="J176" s="101">
        <f t="shared" si="13"/>
        <v>-100</v>
      </c>
    </row>
    <row r="177" spans="1:10" ht="20.100000000000001" hidden="1" customHeight="1">
      <c r="A177" s="180"/>
      <c r="B177" s="102" t="s">
        <v>1063</v>
      </c>
      <c r="C177" s="103" t="s">
        <v>155</v>
      </c>
      <c r="D177" s="104">
        <v>2284000</v>
      </c>
      <c r="E177" s="104">
        <v>2284000</v>
      </c>
      <c r="F177" s="175">
        <f t="shared" si="15"/>
        <v>0</v>
      </c>
      <c r="G177" s="167">
        <f t="shared" si="15"/>
        <v>2284000</v>
      </c>
      <c r="H177" s="101" t="e">
        <f t="shared" si="13"/>
        <v>#VALUE!</v>
      </c>
      <c r="I177" s="101">
        <f t="shared" si="17"/>
        <v>-2284000</v>
      </c>
      <c r="J177" s="101">
        <f t="shared" si="13"/>
        <v>-100</v>
      </c>
    </row>
    <row r="178" spans="1:10" ht="20.100000000000001" hidden="1" customHeight="1">
      <c r="A178" s="180"/>
      <c r="B178" s="102" t="s">
        <v>1064</v>
      </c>
      <c r="C178" s="103" t="s">
        <v>193</v>
      </c>
      <c r="D178" s="104"/>
      <c r="E178" s="104">
        <v>27945000</v>
      </c>
      <c r="F178" s="175">
        <f t="shared" si="15"/>
        <v>-27945000</v>
      </c>
      <c r="G178" s="167">
        <f t="shared" si="15"/>
        <v>55890000</v>
      </c>
      <c r="H178" s="101" t="e">
        <f t="shared" si="13"/>
        <v>#VALUE!</v>
      </c>
      <c r="I178" s="101">
        <f t="shared" si="17"/>
        <v>-83835000</v>
      </c>
      <c r="J178" s="101">
        <f t="shared" si="13"/>
        <v>-300</v>
      </c>
    </row>
    <row r="179" spans="1:10" ht="20.100000000000001" hidden="1" customHeight="1">
      <c r="A179" s="180"/>
      <c r="B179" s="102" t="s">
        <v>1065</v>
      </c>
      <c r="C179" s="103" t="s">
        <v>312</v>
      </c>
      <c r="D179" s="104">
        <v>27945000</v>
      </c>
      <c r="E179" s="104">
        <v>27945000</v>
      </c>
      <c r="F179" s="175">
        <f t="shared" si="15"/>
        <v>0</v>
      </c>
      <c r="G179" s="167">
        <f t="shared" si="15"/>
        <v>27945000</v>
      </c>
      <c r="H179" s="101" t="e">
        <f t="shared" si="13"/>
        <v>#VALUE!</v>
      </c>
      <c r="I179" s="101">
        <f t="shared" si="17"/>
        <v>-27945000</v>
      </c>
      <c r="J179" s="101">
        <f t="shared" si="13"/>
        <v>-100</v>
      </c>
    </row>
    <row r="180" spans="1:10" ht="20.100000000000001" hidden="1" customHeight="1">
      <c r="A180" s="180"/>
      <c r="B180" s="102" t="s">
        <v>1066</v>
      </c>
      <c r="C180" s="103" t="s">
        <v>157</v>
      </c>
      <c r="D180" s="104"/>
      <c r="E180" s="104">
        <v>8800000</v>
      </c>
      <c r="F180" s="175">
        <f t="shared" si="15"/>
        <v>-8800000</v>
      </c>
      <c r="G180" s="167">
        <f t="shared" si="15"/>
        <v>17600000</v>
      </c>
      <c r="H180" s="101" t="e">
        <f t="shared" si="13"/>
        <v>#VALUE!</v>
      </c>
      <c r="I180" s="101">
        <f t="shared" si="17"/>
        <v>-26400000</v>
      </c>
      <c r="J180" s="101">
        <f t="shared" si="13"/>
        <v>-300</v>
      </c>
    </row>
    <row r="181" spans="1:10" ht="20.100000000000001" hidden="1" customHeight="1">
      <c r="A181" s="180"/>
      <c r="B181" s="102" t="s">
        <v>1067</v>
      </c>
      <c r="C181" s="103" t="s">
        <v>159</v>
      </c>
      <c r="D181" s="104">
        <v>8800000</v>
      </c>
      <c r="E181" s="104">
        <v>8800000</v>
      </c>
      <c r="F181" s="175">
        <f t="shared" si="15"/>
        <v>0</v>
      </c>
      <c r="G181" s="167">
        <f t="shared" si="15"/>
        <v>8800000</v>
      </c>
      <c r="H181" s="101" t="e">
        <f t="shared" si="13"/>
        <v>#VALUE!</v>
      </c>
      <c r="I181" s="101">
        <f t="shared" si="17"/>
        <v>-8800000</v>
      </c>
      <c r="J181" s="101">
        <f t="shared" si="13"/>
        <v>-100</v>
      </c>
    </row>
    <row r="182" spans="1:10" ht="20.100000000000001" hidden="1" customHeight="1">
      <c r="A182" s="180"/>
      <c r="B182" s="102" t="s">
        <v>1068</v>
      </c>
      <c r="C182" s="103" t="s">
        <v>402</v>
      </c>
      <c r="D182" s="104"/>
      <c r="E182" s="104">
        <v>36000000</v>
      </c>
      <c r="F182" s="175">
        <f t="shared" si="15"/>
        <v>-36000000</v>
      </c>
      <c r="G182" s="167">
        <f t="shared" si="15"/>
        <v>72000000</v>
      </c>
      <c r="H182" s="101" t="e">
        <f t="shared" si="13"/>
        <v>#VALUE!</v>
      </c>
      <c r="I182" s="101">
        <f t="shared" si="17"/>
        <v>-108000000</v>
      </c>
      <c r="J182" s="101">
        <f t="shared" si="13"/>
        <v>-300</v>
      </c>
    </row>
    <row r="183" spans="1:10" ht="20.100000000000001" hidden="1" customHeight="1">
      <c r="A183" s="180"/>
      <c r="B183" s="102" t="s">
        <v>1069</v>
      </c>
      <c r="C183" s="103" t="s">
        <v>404</v>
      </c>
      <c r="D183" s="104">
        <v>36000000</v>
      </c>
      <c r="E183" s="104">
        <v>36000000</v>
      </c>
      <c r="F183" s="175">
        <f t="shared" si="15"/>
        <v>0</v>
      </c>
      <c r="G183" s="167">
        <f t="shared" si="15"/>
        <v>36000000</v>
      </c>
      <c r="H183" s="101" t="e">
        <f t="shared" si="13"/>
        <v>#VALUE!</v>
      </c>
      <c r="I183" s="101">
        <f t="shared" si="17"/>
        <v>-36000000</v>
      </c>
      <c r="J183" s="101">
        <f t="shared" si="13"/>
        <v>-100</v>
      </c>
    </row>
    <row r="184" spans="1:10" ht="20.100000000000001" customHeight="1">
      <c r="A184" s="178">
        <v>14</v>
      </c>
      <c r="B184" s="193" t="s">
        <v>1070</v>
      </c>
      <c r="C184" s="195" t="s">
        <v>406</v>
      </c>
      <c r="D184" s="197">
        <f>D188</f>
        <v>202000000</v>
      </c>
      <c r="E184" s="197">
        <f>'rekap REALISASI REKO '!AB221</f>
        <v>500000000</v>
      </c>
      <c r="F184" s="199">
        <f>D184-E184</f>
        <v>-298000000</v>
      </c>
      <c r="G184" s="201">
        <v>21978000</v>
      </c>
      <c r="H184" s="214">
        <f>G184/E184*100</f>
        <v>4.3956</v>
      </c>
      <c r="I184" s="214">
        <f>E184-G184</f>
        <v>478022000</v>
      </c>
      <c r="J184" s="214">
        <f>I184/E184*100</f>
        <v>95.604399999999998</v>
      </c>
    </row>
    <row r="185" spans="1:10" ht="6.75" customHeight="1">
      <c r="A185" s="179"/>
      <c r="B185" s="194"/>
      <c r="C185" s="196"/>
      <c r="D185" s="198"/>
      <c r="E185" s="198"/>
      <c r="F185" s="200"/>
      <c r="G185" s="202"/>
      <c r="H185" s="215"/>
      <c r="I185" s="215"/>
      <c r="J185" s="215"/>
    </row>
    <row r="186" spans="1:10" ht="20.100000000000001" hidden="1" customHeight="1">
      <c r="A186" s="180"/>
      <c r="B186" s="102" t="s">
        <v>1071</v>
      </c>
      <c r="C186" s="103" t="s">
        <v>270</v>
      </c>
      <c r="D186" s="104"/>
      <c r="E186" s="104">
        <v>202000000</v>
      </c>
      <c r="F186" s="175">
        <f t="shared" si="15"/>
        <v>-202000000</v>
      </c>
      <c r="G186" s="167">
        <f t="shared" si="15"/>
        <v>404000000</v>
      </c>
      <c r="H186" s="101" t="e">
        <f t="shared" si="13"/>
        <v>#VALUE!</v>
      </c>
      <c r="I186" s="101">
        <f>F186-G186</f>
        <v>-606000000</v>
      </c>
      <c r="J186" s="101">
        <f t="shared" si="13"/>
        <v>-300</v>
      </c>
    </row>
    <row r="187" spans="1:10" ht="20.100000000000001" hidden="1" customHeight="1">
      <c r="A187" s="180"/>
      <c r="B187" s="102" t="s">
        <v>1072</v>
      </c>
      <c r="C187" s="103" t="s">
        <v>272</v>
      </c>
      <c r="D187" s="104"/>
      <c r="E187" s="104">
        <v>202000000</v>
      </c>
      <c r="F187" s="175">
        <f t="shared" si="15"/>
        <v>-202000000</v>
      </c>
      <c r="G187" s="167">
        <f t="shared" si="15"/>
        <v>404000000</v>
      </c>
      <c r="H187" s="101" t="e">
        <f t="shared" si="13"/>
        <v>#VALUE!</v>
      </c>
      <c r="I187" s="101">
        <f>F187-G187</f>
        <v>-606000000</v>
      </c>
      <c r="J187" s="101">
        <f t="shared" si="13"/>
        <v>-300</v>
      </c>
    </row>
    <row r="188" spans="1:10" ht="20.100000000000001" hidden="1" customHeight="1">
      <c r="A188" s="180"/>
      <c r="B188" s="102" t="s">
        <v>1073</v>
      </c>
      <c r="C188" s="103" t="s">
        <v>274</v>
      </c>
      <c r="D188" s="104">
        <v>202000000</v>
      </c>
      <c r="E188" s="104">
        <v>202000000</v>
      </c>
      <c r="F188" s="175">
        <f t="shared" si="15"/>
        <v>0</v>
      </c>
      <c r="G188" s="167">
        <f t="shared" si="15"/>
        <v>202000000</v>
      </c>
      <c r="H188" s="101" t="e">
        <f t="shared" si="13"/>
        <v>#VALUE!</v>
      </c>
      <c r="I188" s="101">
        <f>F188-G188</f>
        <v>-202000000</v>
      </c>
      <c r="J188" s="101">
        <f t="shared" si="13"/>
        <v>-100</v>
      </c>
    </row>
    <row r="189" spans="1:10" ht="20.100000000000001" customHeight="1">
      <c r="A189" s="178">
        <v>15</v>
      </c>
      <c r="B189" s="193" t="s">
        <v>1074</v>
      </c>
      <c r="C189" s="195" t="s">
        <v>435</v>
      </c>
      <c r="D189" s="197">
        <f>SUM(D191:D210)</f>
        <v>391445000</v>
      </c>
      <c r="E189" s="197">
        <f>'rekap REALISASI REKO '!AB248</f>
        <v>150000000</v>
      </c>
      <c r="F189" s="199">
        <f>D189-E189</f>
        <v>241445000</v>
      </c>
      <c r="G189" s="201">
        <f>'rekap REALISASI REKO '!AQ248</f>
        <v>87266175</v>
      </c>
      <c r="H189" s="214">
        <f>G189/E189*100</f>
        <v>58.17745</v>
      </c>
      <c r="I189" s="214">
        <f>E189-G189</f>
        <v>62733825</v>
      </c>
      <c r="J189" s="214">
        <f>I189/E189*100</f>
        <v>41.82255</v>
      </c>
    </row>
    <row r="190" spans="1:10" ht="6" customHeight="1">
      <c r="A190" s="179"/>
      <c r="B190" s="194"/>
      <c r="C190" s="196"/>
      <c r="D190" s="198"/>
      <c r="E190" s="198"/>
      <c r="F190" s="200"/>
      <c r="G190" s="202"/>
      <c r="H190" s="215"/>
      <c r="I190" s="215"/>
      <c r="J190" s="215"/>
    </row>
    <row r="191" spans="1:10" ht="20.100000000000001" hidden="1" customHeight="1">
      <c r="A191" s="180"/>
      <c r="B191" s="102" t="s">
        <v>1075</v>
      </c>
      <c r="C191" s="103" t="s">
        <v>10</v>
      </c>
      <c r="D191" s="104"/>
      <c r="E191" s="104">
        <v>4350000</v>
      </c>
      <c r="F191" s="175">
        <f t="shared" si="15"/>
        <v>-4350000</v>
      </c>
      <c r="G191" s="167">
        <f t="shared" si="15"/>
        <v>8700000</v>
      </c>
      <c r="H191" s="101" t="e">
        <f t="shared" si="13"/>
        <v>#VALUE!</v>
      </c>
      <c r="I191" s="101">
        <f t="shared" ref="I191:I210" si="18">F191-G191</f>
        <v>-13050000</v>
      </c>
      <c r="J191" s="101">
        <f t="shared" si="13"/>
        <v>-300</v>
      </c>
    </row>
    <row r="192" spans="1:10" ht="20.100000000000001" hidden="1" customHeight="1">
      <c r="A192" s="180"/>
      <c r="B192" s="102" t="s">
        <v>1076</v>
      </c>
      <c r="C192" s="103" t="s">
        <v>177</v>
      </c>
      <c r="D192" s="104"/>
      <c r="E192" s="104">
        <v>4350000</v>
      </c>
      <c r="F192" s="175">
        <f t="shared" si="15"/>
        <v>-4350000</v>
      </c>
      <c r="G192" s="167">
        <f t="shared" si="15"/>
        <v>8700000</v>
      </c>
      <c r="H192" s="101" t="e">
        <f t="shared" si="13"/>
        <v>#VALUE!</v>
      </c>
      <c r="I192" s="101">
        <f t="shared" si="18"/>
        <v>-13050000</v>
      </c>
      <c r="J192" s="101">
        <f t="shared" si="13"/>
        <v>-300</v>
      </c>
    </row>
    <row r="193" spans="1:10" ht="20.100000000000001" hidden="1" customHeight="1">
      <c r="A193" s="180"/>
      <c r="B193" s="102" t="s">
        <v>1077</v>
      </c>
      <c r="C193" s="103" t="s">
        <v>283</v>
      </c>
      <c r="D193" s="104">
        <v>3680000</v>
      </c>
      <c r="E193" s="104">
        <v>3680000</v>
      </c>
      <c r="F193" s="175">
        <f t="shared" si="15"/>
        <v>0</v>
      </c>
      <c r="G193" s="167">
        <f t="shared" si="15"/>
        <v>3680000</v>
      </c>
      <c r="H193" s="101" t="e">
        <f t="shared" si="13"/>
        <v>#VALUE!</v>
      </c>
      <c r="I193" s="101">
        <f t="shared" si="18"/>
        <v>-3680000</v>
      </c>
      <c r="J193" s="101">
        <f t="shared" si="13"/>
        <v>-100</v>
      </c>
    </row>
    <row r="194" spans="1:10" ht="20.100000000000001" hidden="1" customHeight="1">
      <c r="A194" s="180"/>
      <c r="B194" s="102" t="s">
        <v>1078</v>
      </c>
      <c r="C194" s="103" t="s">
        <v>384</v>
      </c>
      <c r="D194" s="104">
        <v>670000</v>
      </c>
      <c r="E194" s="104">
        <v>670000</v>
      </c>
      <c r="F194" s="175">
        <f t="shared" si="15"/>
        <v>0</v>
      </c>
      <c r="G194" s="167">
        <f t="shared" si="15"/>
        <v>670000</v>
      </c>
      <c r="H194" s="101" t="e">
        <f t="shared" si="13"/>
        <v>#VALUE!</v>
      </c>
      <c r="I194" s="101">
        <f t="shared" si="18"/>
        <v>-670000</v>
      </c>
      <c r="J194" s="101">
        <f t="shared" si="13"/>
        <v>-100</v>
      </c>
    </row>
    <row r="195" spans="1:10" ht="20.100000000000001" hidden="1" customHeight="1">
      <c r="A195" s="180"/>
      <c r="B195" s="102" t="s">
        <v>1079</v>
      </c>
      <c r="C195" s="103" t="s">
        <v>143</v>
      </c>
      <c r="D195" s="104"/>
      <c r="E195" s="104">
        <v>387095000</v>
      </c>
      <c r="F195" s="175">
        <f t="shared" si="15"/>
        <v>-387095000</v>
      </c>
      <c r="G195" s="167">
        <f t="shared" si="15"/>
        <v>774190000</v>
      </c>
      <c r="H195" s="101" t="e">
        <f t="shared" si="13"/>
        <v>#VALUE!</v>
      </c>
      <c r="I195" s="101">
        <f t="shared" si="18"/>
        <v>-1161285000</v>
      </c>
      <c r="J195" s="101">
        <f t="shared" si="13"/>
        <v>-300</v>
      </c>
    </row>
    <row r="196" spans="1:10" ht="20.100000000000001" hidden="1" customHeight="1">
      <c r="A196" s="180"/>
      <c r="B196" s="102" t="s">
        <v>1080</v>
      </c>
      <c r="C196" s="103" t="s">
        <v>145</v>
      </c>
      <c r="D196" s="104"/>
      <c r="E196" s="104">
        <v>2888000</v>
      </c>
      <c r="F196" s="175">
        <f t="shared" si="15"/>
        <v>-2888000</v>
      </c>
      <c r="G196" s="167">
        <f t="shared" si="15"/>
        <v>5776000</v>
      </c>
      <c r="H196" s="101" t="e">
        <f t="shared" si="13"/>
        <v>#VALUE!</v>
      </c>
      <c r="I196" s="101">
        <f t="shared" si="18"/>
        <v>-8664000</v>
      </c>
      <c r="J196" s="101">
        <f t="shared" si="13"/>
        <v>-300</v>
      </c>
    </row>
    <row r="197" spans="1:10" ht="20.100000000000001" hidden="1" customHeight="1">
      <c r="A197" s="180"/>
      <c r="B197" s="102" t="s">
        <v>1081</v>
      </c>
      <c r="C197" s="103" t="s">
        <v>147</v>
      </c>
      <c r="D197" s="104">
        <v>2888000</v>
      </c>
      <c r="E197" s="104">
        <v>2888000</v>
      </c>
      <c r="F197" s="175">
        <f t="shared" si="15"/>
        <v>0</v>
      </c>
      <c r="G197" s="167">
        <f t="shared" si="15"/>
        <v>2888000</v>
      </c>
      <c r="H197" s="101" t="e">
        <f t="shared" si="13"/>
        <v>#VALUE!</v>
      </c>
      <c r="I197" s="101">
        <f t="shared" si="18"/>
        <v>-2888000</v>
      </c>
      <c r="J197" s="101">
        <f t="shared" si="13"/>
        <v>-100</v>
      </c>
    </row>
    <row r="198" spans="1:10" ht="20.100000000000001" hidden="1" customHeight="1">
      <c r="A198" s="180"/>
      <c r="B198" s="102" t="s">
        <v>1082</v>
      </c>
      <c r="C198" s="103" t="s">
        <v>389</v>
      </c>
      <c r="D198" s="104"/>
      <c r="E198" s="104">
        <v>30429000</v>
      </c>
      <c r="F198" s="175">
        <f t="shared" si="15"/>
        <v>-30429000</v>
      </c>
      <c r="G198" s="167">
        <f t="shared" si="15"/>
        <v>60858000</v>
      </c>
      <c r="H198" s="101" t="e">
        <f t="shared" si="13"/>
        <v>#VALUE!</v>
      </c>
      <c r="I198" s="101">
        <f t="shared" si="18"/>
        <v>-91287000</v>
      </c>
      <c r="J198" s="101">
        <f t="shared" si="13"/>
        <v>-300</v>
      </c>
    </row>
    <row r="199" spans="1:10" ht="20.100000000000001" hidden="1" customHeight="1">
      <c r="A199" s="180"/>
      <c r="B199" s="102" t="s">
        <v>1083</v>
      </c>
      <c r="C199" s="103" t="s">
        <v>1084</v>
      </c>
      <c r="D199" s="104">
        <v>30429000</v>
      </c>
      <c r="E199" s="104">
        <v>30429000</v>
      </c>
      <c r="F199" s="175">
        <f t="shared" si="15"/>
        <v>0</v>
      </c>
      <c r="G199" s="167">
        <f t="shared" si="15"/>
        <v>30429000</v>
      </c>
      <c r="H199" s="101" t="e">
        <f t="shared" si="13"/>
        <v>#VALUE!</v>
      </c>
      <c r="I199" s="101">
        <f t="shared" si="18"/>
        <v>-30429000</v>
      </c>
      <c r="J199" s="101">
        <f t="shared" si="13"/>
        <v>-100</v>
      </c>
    </row>
    <row r="200" spans="1:10" ht="20.100000000000001" hidden="1" customHeight="1">
      <c r="A200" s="180"/>
      <c r="B200" s="102" t="s">
        <v>1085</v>
      </c>
      <c r="C200" s="103" t="s">
        <v>163</v>
      </c>
      <c r="D200" s="104"/>
      <c r="E200" s="104">
        <v>152000000</v>
      </c>
      <c r="F200" s="175">
        <f t="shared" si="15"/>
        <v>-152000000</v>
      </c>
      <c r="G200" s="167">
        <f t="shared" si="15"/>
        <v>304000000</v>
      </c>
      <c r="H200" s="101" t="e">
        <f t="shared" si="13"/>
        <v>#VALUE!</v>
      </c>
      <c r="I200" s="101">
        <f t="shared" si="18"/>
        <v>-456000000</v>
      </c>
      <c r="J200" s="101">
        <f t="shared" si="13"/>
        <v>-300</v>
      </c>
    </row>
    <row r="201" spans="1:10" ht="20.100000000000001" hidden="1" customHeight="1">
      <c r="A201" s="180"/>
      <c r="B201" s="102" t="s">
        <v>1086</v>
      </c>
      <c r="C201" s="103" t="s">
        <v>352</v>
      </c>
      <c r="D201" s="104">
        <v>152000000</v>
      </c>
      <c r="E201" s="104">
        <v>152000000</v>
      </c>
      <c r="F201" s="175">
        <f t="shared" si="15"/>
        <v>0</v>
      </c>
      <c r="G201" s="167">
        <f t="shared" si="15"/>
        <v>152000000</v>
      </c>
      <c r="H201" s="101" t="e">
        <f t="shared" si="13"/>
        <v>#VALUE!</v>
      </c>
      <c r="I201" s="101">
        <f t="shared" si="18"/>
        <v>-152000000</v>
      </c>
      <c r="J201" s="101">
        <f t="shared" si="13"/>
        <v>-100</v>
      </c>
    </row>
    <row r="202" spans="1:10" ht="20.100000000000001" hidden="1" customHeight="1">
      <c r="A202" s="180"/>
      <c r="B202" s="102" t="s">
        <v>1087</v>
      </c>
      <c r="C202" s="103" t="s">
        <v>151</v>
      </c>
      <c r="D202" s="104"/>
      <c r="E202" s="104">
        <v>3578000</v>
      </c>
      <c r="F202" s="175">
        <f t="shared" si="15"/>
        <v>-3578000</v>
      </c>
      <c r="G202" s="167">
        <f t="shared" si="15"/>
        <v>7156000</v>
      </c>
      <c r="H202" s="101" t="e">
        <f t="shared" ref="H202:J265" si="19">G202/C202*100</f>
        <v>#VALUE!</v>
      </c>
      <c r="I202" s="101">
        <f t="shared" si="18"/>
        <v>-10734000</v>
      </c>
      <c r="J202" s="101">
        <f t="shared" si="19"/>
        <v>-300</v>
      </c>
    </row>
    <row r="203" spans="1:10" ht="20.100000000000001" hidden="1" customHeight="1">
      <c r="A203" s="180"/>
      <c r="B203" s="102" t="s">
        <v>1088</v>
      </c>
      <c r="C203" s="103" t="s">
        <v>155</v>
      </c>
      <c r="D203" s="104">
        <v>3578000</v>
      </c>
      <c r="E203" s="104">
        <v>3578000</v>
      </c>
      <c r="F203" s="175">
        <f t="shared" ref="F203:G266" si="20">D203-E203</f>
        <v>0</v>
      </c>
      <c r="G203" s="167">
        <f t="shared" si="20"/>
        <v>3578000</v>
      </c>
      <c r="H203" s="101" t="e">
        <f t="shared" si="19"/>
        <v>#VALUE!</v>
      </c>
      <c r="I203" s="101">
        <f t="shared" si="18"/>
        <v>-3578000</v>
      </c>
      <c r="J203" s="101">
        <f t="shared" si="19"/>
        <v>-100</v>
      </c>
    </row>
    <row r="204" spans="1:10" ht="20.100000000000001" hidden="1" customHeight="1">
      <c r="A204" s="180"/>
      <c r="B204" s="102" t="s">
        <v>1089</v>
      </c>
      <c r="C204" s="103" t="s">
        <v>193</v>
      </c>
      <c r="D204" s="104"/>
      <c r="E204" s="104">
        <v>32400000</v>
      </c>
      <c r="F204" s="175">
        <f t="shared" si="20"/>
        <v>-32400000</v>
      </c>
      <c r="G204" s="167">
        <f t="shared" si="20"/>
        <v>64800000</v>
      </c>
      <c r="H204" s="101" t="e">
        <f t="shared" si="19"/>
        <v>#VALUE!</v>
      </c>
      <c r="I204" s="101">
        <f t="shared" si="18"/>
        <v>-97200000</v>
      </c>
      <c r="J204" s="101">
        <f t="shared" si="19"/>
        <v>-300</v>
      </c>
    </row>
    <row r="205" spans="1:10" ht="20.100000000000001" hidden="1" customHeight="1">
      <c r="A205" s="180"/>
      <c r="B205" s="102" t="s">
        <v>1090</v>
      </c>
      <c r="C205" s="103" t="s">
        <v>312</v>
      </c>
      <c r="D205" s="104">
        <v>32400000</v>
      </c>
      <c r="E205" s="104">
        <v>32400000</v>
      </c>
      <c r="F205" s="175">
        <f t="shared" si="20"/>
        <v>0</v>
      </c>
      <c r="G205" s="167">
        <f t="shared" si="20"/>
        <v>32400000</v>
      </c>
      <c r="H205" s="101" t="e">
        <f t="shared" si="19"/>
        <v>#VALUE!</v>
      </c>
      <c r="I205" s="101">
        <f t="shared" si="18"/>
        <v>-32400000</v>
      </c>
      <c r="J205" s="101">
        <f t="shared" si="19"/>
        <v>-100</v>
      </c>
    </row>
    <row r="206" spans="1:10" ht="20.100000000000001" hidden="1" customHeight="1">
      <c r="A206" s="180"/>
      <c r="B206" s="102" t="s">
        <v>1091</v>
      </c>
      <c r="C206" s="103" t="s">
        <v>157</v>
      </c>
      <c r="D206" s="104"/>
      <c r="E206" s="104">
        <v>12200000</v>
      </c>
      <c r="F206" s="175">
        <f t="shared" si="20"/>
        <v>-12200000</v>
      </c>
      <c r="G206" s="167">
        <f t="shared" si="20"/>
        <v>24400000</v>
      </c>
      <c r="H206" s="101" t="e">
        <f t="shared" si="19"/>
        <v>#VALUE!</v>
      </c>
      <c r="I206" s="101">
        <f t="shared" si="18"/>
        <v>-36600000</v>
      </c>
      <c r="J206" s="101">
        <f t="shared" si="19"/>
        <v>-300</v>
      </c>
    </row>
    <row r="207" spans="1:10" ht="20.100000000000001" hidden="1" customHeight="1">
      <c r="A207" s="180"/>
      <c r="B207" s="102" t="s">
        <v>1092</v>
      </c>
      <c r="C207" s="103" t="s">
        <v>159</v>
      </c>
      <c r="D207" s="104">
        <v>7850000</v>
      </c>
      <c r="E207" s="104">
        <v>7850000</v>
      </c>
      <c r="F207" s="175">
        <f t="shared" si="20"/>
        <v>0</v>
      </c>
      <c r="G207" s="167">
        <f t="shared" si="20"/>
        <v>7850000</v>
      </c>
      <c r="H207" s="101" t="e">
        <f t="shared" si="19"/>
        <v>#VALUE!</v>
      </c>
      <c r="I207" s="101">
        <f t="shared" si="18"/>
        <v>-7850000</v>
      </c>
      <c r="J207" s="101">
        <f t="shared" si="19"/>
        <v>-100</v>
      </c>
    </row>
    <row r="208" spans="1:10" ht="20.100000000000001" hidden="1" customHeight="1">
      <c r="A208" s="180"/>
      <c r="B208" s="102" t="s">
        <v>1093</v>
      </c>
      <c r="C208" s="103" t="s">
        <v>207</v>
      </c>
      <c r="D208" s="104">
        <v>4350000</v>
      </c>
      <c r="E208" s="104">
        <v>4350000</v>
      </c>
      <c r="F208" s="175">
        <f t="shared" si="20"/>
        <v>0</v>
      </c>
      <c r="G208" s="167">
        <f t="shared" si="20"/>
        <v>4350000</v>
      </c>
      <c r="H208" s="101" t="e">
        <f t="shared" si="19"/>
        <v>#VALUE!</v>
      </c>
      <c r="I208" s="101">
        <f t="shared" si="18"/>
        <v>-4350000</v>
      </c>
      <c r="J208" s="101">
        <f t="shared" si="19"/>
        <v>-100</v>
      </c>
    </row>
    <row r="209" spans="1:10" ht="20.100000000000001" hidden="1" customHeight="1">
      <c r="A209" s="180"/>
      <c r="B209" s="102" t="s">
        <v>1094</v>
      </c>
      <c r="C209" s="103" t="s">
        <v>402</v>
      </c>
      <c r="D209" s="104"/>
      <c r="E209" s="104">
        <v>153600000</v>
      </c>
      <c r="F209" s="175">
        <f t="shared" si="20"/>
        <v>-153600000</v>
      </c>
      <c r="G209" s="167">
        <f t="shared" si="20"/>
        <v>307200000</v>
      </c>
      <c r="H209" s="101" t="e">
        <f t="shared" si="19"/>
        <v>#VALUE!</v>
      </c>
      <c r="I209" s="101">
        <f t="shared" si="18"/>
        <v>-460800000</v>
      </c>
      <c r="J209" s="101">
        <f t="shared" si="19"/>
        <v>-300</v>
      </c>
    </row>
    <row r="210" spans="1:10" ht="20.100000000000001" hidden="1" customHeight="1">
      <c r="A210" s="180"/>
      <c r="B210" s="102" t="s">
        <v>1095</v>
      </c>
      <c r="C210" s="103" t="s">
        <v>404</v>
      </c>
      <c r="D210" s="104">
        <v>153600000</v>
      </c>
      <c r="E210" s="104">
        <v>153600000</v>
      </c>
      <c r="F210" s="175">
        <f t="shared" si="20"/>
        <v>0</v>
      </c>
      <c r="G210" s="167">
        <f t="shared" si="20"/>
        <v>153600000</v>
      </c>
      <c r="H210" s="101" t="e">
        <f t="shared" si="19"/>
        <v>#VALUE!</v>
      </c>
      <c r="I210" s="101">
        <f t="shared" si="18"/>
        <v>-153600000</v>
      </c>
      <c r="J210" s="101">
        <f t="shared" si="19"/>
        <v>-100</v>
      </c>
    </row>
    <row r="211" spans="1:10" ht="20.100000000000001" customHeight="1">
      <c r="A211" s="176" t="s">
        <v>363</v>
      </c>
      <c r="B211" s="106" t="s">
        <v>1096</v>
      </c>
      <c r="C211" s="107" t="s">
        <v>6</v>
      </c>
      <c r="D211" s="108">
        <f>D212+D231+D251+D274+D298+D322</f>
        <v>1242968000</v>
      </c>
      <c r="E211" s="108">
        <f>E212+E231+E251+E274+E298+E322</f>
        <v>1059675000</v>
      </c>
      <c r="F211" s="177">
        <f t="shared" si="20"/>
        <v>183293000</v>
      </c>
      <c r="G211" s="169">
        <f>G212+G231+G251+G274+G298+G322</f>
        <v>853261225</v>
      </c>
      <c r="H211" s="110">
        <f>G211/E211*100</f>
        <v>80.521030032793078</v>
      </c>
      <c r="I211" s="109">
        <f>I212+I231+I251+I274+I298+I322</f>
        <v>206413775</v>
      </c>
      <c r="J211" s="110">
        <f t="shared" si="19"/>
        <v>19.478969967206929</v>
      </c>
    </row>
    <row r="212" spans="1:10" ht="20.100000000000001" customHeight="1">
      <c r="A212" s="178">
        <v>16</v>
      </c>
      <c r="B212" s="193" t="s">
        <v>1097</v>
      </c>
      <c r="C212" s="195" t="s">
        <v>483</v>
      </c>
      <c r="D212" s="197">
        <f>SUM(D216:D230)</f>
        <v>38322000</v>
      </c>
      <c r="E212" s="197">
        <f>'rekap REALISASI REKO '!AB291</f>
        <v>35116000</v>
      </c>
      <c r="F212" s="199">
        <f>D212-E212</f>
        <v>3206000</v>
      </c>
      <c r="G212" s="201">
        <f>'rekap REALISASI REKO '!AQ291</f>
        <v>16771000</v>
      </c>
      <c r="H212" s="214">
        <f>G212/E212*100</f>
        <v>47.758856361772409</v>
      </c>
      <c r="I212" s="214">
        <f>E212-G212</f>
        <v>18345000</v>
      </c>
      <c r="J212" s="214">
        <f>I212/E212*100</f>
        <v>52.241143638227591</v>
      </c>
    </row>
    <row r="213" spans="1:10" ht="5.25" customHeight="1">
      <c r="A213" s="179"/>
      <c r="B213" s="194"/>
      <c r="C213" s="196"/>
      <c r="D213" s="198"/>
      <c r="E213" s="198"/>
      <c r="F213" s="200"/>
      <c r="G213" s="202"/>
      <c r="H213" s="215"/>
      <c r="I213" s="215"/>
      <c r="J213" s="215"/>
    </row>
    <row r="214" spans="1:10" ht="20.100000000000001" hidden="1" customHeight="1">
      <c r="A214" s="180"/>
      <c r="B214" s="102" t="s">
        <v>1098</v>
      </c>
      <c r="C214" s="103" t="s">
        <v>10</v>
      </c>
      <c r="D214" s="104"/>
      <c r="E214" s="104">
        <v>1040000</v>
      </c>
      <c r="F214" s="175">
        <f t="shared" si="20"/>
        <v>-1040000</v>
      </c>
      <c r="G214" s="167">
        <f t="shared" si="20"/>
        <v>2080000</v>
      </c>
      <c r="H214" s="101" t="e">
        <f t="shared" si="19"/>
        <v>#VALUE!</v>
      </c>
      <c r="I214" s="101">
        <f t="shared" ref="I214:I230" si="21">F214-G214</f>
        <v>-3120000</v>
      </c>
      <c r="J214" s="101">
        <f t="shared" si="19"/>
        <v>-300</v>
      </c>
    </row>
    <row r="215" spans="1:10" ht="20.100000000000001" hidden="1" customHeight="1">
      <c r="A215" s="180"/>
      <c r="B215" s="102" t="s">
        <v>1099</v>
      </c>
      <c r="C215" s="103" t="s">
        <v>177</v>
      </c>
      <c r="D215" s="104"/>
      <c r="E215" s="104">
        <v>1040000</v>
      </c>
      <c r="F215" s="175">
        <f t="shared" si="20"/>
        <v>-1040000</v>
      </c>
      <c r="G215" s="167">
        <f t="shared" si="20"/>
        <v>2080000</v>
      </c>
      <c r="H215" s="101" t="e">
        <f t="shared" si="19"/>
        <v>#VALUE!</v>
      </c>
      <c r="I215" s="101">
        <f t="shared" si="21"/>
        <v>-3120000</v>
      </c>
      <c r="J215" s="101">
        <f t="shared" si="19"/>
        <v>-300</v>
      </c>
    </row>
    <row r="216" spans="1:10" ht="20.100000000000001" hidden="1" customHeight="1">
      <c r="A216" s="180"/>
      <c r="B216" s="102" t="s">
        <v>1100</v>
      </c>
      <c r="C216" s="103" t="s">
        <v>283</v>
      </c>
      <c r="D216" s="104">
        <v>1040000</v>
      </c>
      <c r="E216" s="104">
        <v>1040000</v>
      </c>
      <c r="F216" s="175">
        <f t="shared" si="20"/>
        <v>0</v>
      </c>
      <c r="G216" s="167">
        <f t="shared" si="20"/>
        <v>1040000</v>
      </c>
      <c r="H216" s="101" t="e">
        <f t="shared" si="19"/>
        <v>#VALUE!</v>
      </c>
      <c r="I216" s="101">
        <f t="shared" si="21"/>
        <v>-1040000</v>
      </c>
      <c r="J216" s="101">
        <f t="shared" si="19"/>
        <v>-100</v>
      </c>
    </row>
    <row r="217" spans="1:10" ht="20.100000000000001" hidden="1" customHeight="1">
      <c r="A217" s="180"/>
      <c r="B217" s="102" t="s">
        <v>1101</v>
      </c>
      <c r="C217" s="103" t="s">
        <v>143</v>
      </c>
      <c r="D217" s="104"/>
      <c r="E217" s="104">
        <v>37282000</v>
      </c>
      <c r="F217" s="175">
        <f t="shared" si="20"/>
        <v>-37282000</v>
      </c>
      <c r="G217" s="167">
        <f t="shared" si="20"/>
        <v>74564000</v>
      </c>
      <c r="H217" s="101" t="e">
        <f t="shared" si="19"/>
        <v>#VALUE!</v>
      </c>
      <c r="I217" s="101">
        <f t="shared" si="21"/>
        <v>-111846000</v>
      </c>
      <c r="J217" s="101">
        <f t="shared" si="19"/>
        <v>-300</v>
      </c>
    </row>
    <row r="218" spans="1:10" ht="20.100000000000001" hidden="1" customHeight="1">
      <c r="A218" s="180"/>
      <c r="B218" s="102" t="s">
        <v>1102</v>
      </c>
      <c r="C218" s="103" t="s">
        <v>145</v>
      </c>
      <c r="D218" s="104"/>
      <c r="E218" s="104">
        <v>2160000</v>
      </c>
      <c r="F218" s="175">
        <f t="shared" si="20"/>
        <v>-2160000</v>
      </c>
      <c r="G218" s="167">
        <f t="shared" si="20"/>
        <v>4320000</v>
      </c>
      <c r="H218" s="101" t="e">
        <f t="shared" si="19"/>
        <v>#VALUE!</v>
      </c>
      <c r="I218" s="101">
        <f t="shared" si="21"/>
        <v>-6480000</v>
      </c>
      <c r="J218" s="101">
        <f t="shared" si="19"/>
        <v>-300</v>
      </c>
    </row>
    <row r="219" spans="1:10" ht="20.100000000000001" hidden="1" customHeight="1">
      <c r="A219" s="180"/>
      <c r="B219" s="102" t="s">
        <v>1103</v>
      </c>
      <c r="C219" s="103" t="s">
        <v>147</v>
      </c>
      <c r="D219" s="104">
        <v>2160000</v>
      </c>
      <c r="E219" s="104">
        <v>2160000</v>
      </c>
      <c r="F219" s="175">
        <f t="shared" si="20"/>
        <v>0</v>
      </c>
      <c r="G219" s="167">
        <f t="shared" si="20"/>
        <v>2160000</v>
      </c>
      <c r="H219" s="101" t="e">
        <f t="shared" si="19"/>
        <v>#VALUE!</v>
      </c>
      <c r="I219" s="101">
        <f t="shared" si="21"/>
        <v>-2160000</v>
      </c>
      <c r="J219" s="101">
        <f t="shared" si="19"/>
        <v>-100</v>
      </c>
    </row>
    <row r="220" spans="1:10" ht="20.100000000000001" hidden="1" customHeight="1">
      <c r="A220" s="180"/>
      <c r="B220" s="102" t="s">
        <v>1104</v>
      </c>
      <c r="C220" s="103" t="s">
        <v>163</v>
      </c>
      <c r="D220" s="104"/>
      <c r="E220" s="104">
        <v>8400000</v>
      </c>
      <c r="F220" s="175">
        <f t="shared" si="20"/>
        <v>-8400000</v>
      </c>
      <c r="G220" s="167">
        <f t="shared" si="20"/>
        <v>16800000</v>
      </c>
      <c r="H220" s="101" t="e">
        <f t="shared" si="19"/>
        <v>#VALUE!</v>
      </c>
      <c r="I220" s="101">
        <f t="shared" si="21"/>
        <v>-25200000</v>
      </c>
      <c r="J220" s="101">
        <f t="shared" si="19"/>
        <v>-300</v>
      </c>
    </row>
    <row r="221" spans="1:10" ht="20.100000000000001" hidden="1" customHeight="1">
      <c r="A221" s="180"/>
      <c r="B221" s="102" t="s">
        <v>1105</v>
      </c>
      <c r="C221" s="103" t="s">
        <v>352</v>
      </c>
      <c r="D221" s="104">
        <v>8400000</v>
      </c>
      <c r="E221" s="104">
        <v>8400000</v>
      </c>
      <c r="F221" s="175">
        <f t="shared" si="20"/>
        <v>0</v>
      </c>
      <c r="G221" s="167">
        <f t="shared" si="20"/>
        <v>8400000</v>
      </c>
      <c r="H221" s="101" t="e">
        <f t="shared" si="19"/>
        <v>#VALUE!</v>
      </c>
      <c r="I221" s="101">
        <f t="shared" si="21"/>
        <v>-8400000</v>
      </c>
      <c r="J221" s="101">
        <f t="shared" si="19"/>
        <v>-100</v>
      </c>
    </row>
    <row r="222" spans="1:10" ht="20.100000000000001" hidden="1" customHeight="1">
      <c r="A222" s="180"/>
      <c r="B222" s="102" t="s">
        <v>1106</v>
      </c>
      <c r="C222" s="103" t="s">
        <v>151</v>
      </c>
      <c r="D222" s="104"/>
      <c r="E222" s="104">
        <v>951000</v>
      </c>
      <c r="F222" s="175">
        <f t="shared" si="20"/>
        <v>-951000</v>
      </c>
      <c r="G222" s="167">
        <f t="shared" si="20"/>
        <v>1902000</v>
      </c>
      <c r="H222" s="101" t="e">
        <f t="shared" si="19"/>
        <v>#VALUE!</v>
      </c>
      <c r="I222" s="101">
        <f t="shared" si="21"/>
        <v>-2853000</v>
      </c>
      <c r="J222" s="101">
        <f t="shared" si="19"/>
        <v>-300</v>
      </c>
    </row>
    <row r="223" spans="1:10" ht="20.100000000000001" hidden="1" customHeight="1">
      <c r="A223" s="180"/>
      <c r="B223" s="102" t="s">
        <v>1107</v>
      </c>
      <c r="C223" s="103" t="s">
        <v>155</v>
      </c>
      <c r="D223" s="104">
        <v>951000</v>
      </c>
      <c r="E223" s="104">
        <v>951000</v>
      </c>
      <c r="F223" s="175">
        <f t="shared" si="20"/>
        <v>0</v>
      </c>
      <c r="G223" s="167">
        <f t="shared" si="20"/>
        <v>951000</v>
      </c>
      <c r="H223" s="101" t="e">
        <f t="shared" si="19"/>
        <v>#VALUE!</v>
      </c>
      <c r="I223" s="101">
        <f t="shared" si="21"/>
        <v>-951000</v>
      </c>
      <c r="J223" s="101">
        <f t="shared" si="19"/>
        <v>-100</v>
      </c>
    </row>
    <row r="224" spans="1:10" ht="20.100000000000001" hidden="1" customHeight="1">
      <c r="A224" s="180"/>
      <c r="B224" s="102" t="s">
        <v>1108</v>
      </c>
      <c r="C224" s="103" t="s">
        <v>193</v>
      </c>
      <c r="D224" s="104"/>
      <c r="E224" s="104">
        <v>4671000</v>
      </c>
      <c r="F224" s="175">
        <f t="shared" si="20"/>
        <v>-4671000</v>
      </c>
      <c r="G224" s="167">
        <f t="shared" si="20"/>
        <v>9342000</v>
      </c>
      <c r="H224" s="101" t="e">
        <f t="shared" si="19"/>
        <v>#VALUE!</v>
      </c>
      <c r="I224" s="101">
        <f t="shared" si="21"/>
        <v>-14013000</v>
      </c>
      <c r="J224" s="101">
        <f t="shared" si="19"/>
        <v>-300</v>
      </c>
    </row>
    <row r="225" spans="1:10" ht="20.100000000000001" hidden="1" customHeight="1">
      <c r="A225" s="180"/>
      <c r="B225" s="102" t="s">
        <v>1109</v>
      </c>
      <c r="C225" s="103" t="s">
        <v>195</v>
      </c>
      <c r="D225" s="104">
        <v>4671000</v>
      </c>
      <c r="E225" s="104">
        <v>4671000</v>
      </c>
      <c r="F225" s="175">
        <f t="shared" si="20"/>
        <v>0</v>
      </c>
      <c r="G225" s="167">
        <f t="shared" si="20"/>
        <v>4671000</v>
      </c>
      <c r="H225" s="101" t="e">
        <f t="shared" si="19"/>
        <v>#VALUE!</v>
      </c>
      <c r="I225" s="101">
        <f t="shared" si="21"/>
        <v>-4671000</v>
      </c>
      <c r="J225" s="101">
        <f t="shared" si="19"/>
        <v>-100</v>
      </c>
    </row>
    <row r="226" spans="1:10" ht="20.100000000000001" hidden="1" customHeight="1">
      <c r="A226" s="180"/>
      <c r="B226" s="102" t="s">
        <v>1110</v>
      </c>
      <c r="C226" s="103" t="s">
        <v>157</v>
      </c>
      <c r="D226" s="104"/>
      <c r="E226" s="104">
        <v>19300000</v>
      </c>
      <c r="F226" s="175">
        <f t="shared" si="20"/>
        <v>-19300000</v>
      </c>
      <c r="G226" s="167">
        <f t="shared" si="20"/>
        <v>38600000</v>
      </c>
      <c r="H226" s="101" t="e">
        <f t="shared" si="19"/>
        <v>#VALUE!</v>
      </c>
      <c r="I226" s="101">
        <f t="shared" si="21"/>
        <v>-57900000</v>
      </c>
      <c r="J226" s="101">
        <f t="shared" si="19"/>
        <v>-300</v>
      </c>
    </row>
    <row r="227" spans="1:10" ht="20.100000000000001" hidden="1" customHeight="1">
      <c r="A227" s="180"/>
      <c r="B227" s="102" t="s">
        <v>1111</v>
      </c>
      <c r="C227" s="103" t="s">
        <v>159</v>
      </c>
      <c r="D227" s="104">
        <v>10000000</v>
      </c>
      <c r="E227" s="104">
        <v>10000000</v>
      </c>
      <c r="F227" s="175">
        <f t="shared" si="20"/>
        <v>0</v>
      </c>
      <c r="G227" s="167">
        <f t="shared" si="20"/>
        <v>10000000</v>
      </c>
      <c r="H227" s="101" t="e">
        <f t="shared" si="19"/>
        <v>#VALUE!</v>
      </c>
      <c r="I227" s="101">
        <f t="shared" si="21"/>
        <v>-10000000</v>
      </c>
      <c r="J227" s="101">
        <f t="shared" si="19"/>
        <v>-100</v>
      </c>
    </row>
    <row r="228" spans="1:10" ht="20.100000000000001" hidden="1" customHeight="1">
      <c r="A228" s="180"/>
      <c r="B228" s="102" t="s">
        <v>1112</v>
      </c>
      <c r="C228" s="103" t="s">
        <v>207</v>
      </c>
      <c r="D228" s="104">
        <v>9300000</v>
      </c>
      <c r="E228" s="104">
        <v>9300000</v>
      </c>
      <c r="F228" s="175">
        <f t="shared" si="20"/>
        <v>0</v>
      </c>
      <c r="G228" s="167">
        <f t="shared" si="20"/>
        <v>9300000</v>
      </c>
      <c r="H228" s="101" t="e">
        <f t="shared" si="19"/>
        <v>#VALUE!</v>
      </c>
      <c r="I228" s="101">
        <f t="shared" si="21"/>
        <v>-9300000</v>
      </c>
      <c r="J228" s="101">
        <f t="shared" si="19"/>
        <v>-100</v>
      </c>
    </row>
    <row r="229" spans="1:10" ht="20.100000000000001" hidden="1" customHeight="1">
      <c r="A229" s="180"/>
      <c r="B229" s="102" t="s">
        <v>1113</v>
      </c>
      <c r="C229" s="103" t="s">
        <v>402</v>
      </c>
      <c r="D229" s="104"/>
      <c r="E229" s="104">
        <v>1800000</v>
      </c>
      <c r="F229" s="175">
        <f t="shared" si="20"/>
        <v>-1800000</v>
      </c>
      <c r="G229" s="167">
        <f t="shared" si="20"/>
        <v>3600000</v>
      </c>
      <c r="H229" s="101" t="e">
        <f t="shared" si="19"/>
        <v>#VALUE!</v>
      </c>
      <c r="I229" s="101">
        <f t="shared" si="21"/>
        <v>-5400000</v>
      </c>
      <c r="J229" s="101">
        <f t="shared" si="19"/>
        <v>-300</v>
      </c>
    </row>
    <row r="230" spans="1:10" ht="20.100000000000001" hidden="1" customHeight="1">
      <c r="A230" s="180"/>
      <c r="B230" s="102" t="s">
        <v>1114</v>
      </c>
      <c r="C230" s="103" t="s">
        <v>404</v>
      </c>
      <c r="D230" s="104">
        <v>1800000</v>
      </c>
      <c r="E230" s="104">
        <v>1800000</v>
      </c>
      <c r="F230" s="175">
        <f t="shared" si="20"/>
        <v>0</v>
      </c>
      <c r="G230" s="167">
        <f t="shared" si="20"/>
        <v>1800000</v>
      </c>
      <c r="H230" s="101" t="e">
        <f t="shared" si="19"/>
        <v>#VALUE!</v>
      </c>
      <c r="I230" s="101">
        <f t="shared" si="21"/>
        <v>-1800000</v>
      </c>
      <c r="J230" s="101">
        <f t="shared" si="19"/>
        <v>-100</v>
      </c>
    </row>
    <row r="231" spans="1:10" ht="20.100000000000001" customHeight="1">
      <c r="A231" s="178">
        <v>17</v>
      </c>
      <c r="B231" s="193" t="s">
        <v>1115</v>
      </c>
      <c r="C231" s="195" t="s">
        <v>20</v>
      </c>
      <c r="D231" s="197">
        <f>SUM(D234:D250)</f>
        <v>41872000</v>
      </c>
      <c r="E231" s="197">
        <f>'rekap REALISASI REKO '!AB309</f>
        <v>27984000</v>
      </c>
      <c r="F231" s="199">
        <f>D231-E231</f>
        <v>13888000</v>
      </c>
      <c r="G231" s="201">
        <f>'rekap REALISASI REKO '!AQ309</f>
        <v>25123850</v>
      </c>
      <c r="H231" s="214">
        <f>G231/E231*100</f>
        <v>89.779338193253295</v>
      </c>
      <c r="I231" s="214">
        <f>E231-G231</f>
        <v>2860150</v>
      </c>
      <c r="J231" s="214">
        <f>I231/E231*100</f>
        <v>10.220661806746714</v>
      </c>
    </row>
    <row r="232" spans="1:10" ht="7.5" customHeight="1">
      <c r="A232" s="179"/>
      <c r="B232" s="194"/>
      <c r="C232" s="196"/>
      <c r="D232" s="198"/>
      <c r="E232" s="198"/>
      <c r="F232" s="200"/>
      <c r="G232" s="202"/>
      <c r="H232" s="215"/>
      <c r="I232" s="215"/>
      <c r="J232" s="215"/>
    </row>
    <row r="233" spans="1:10" ht="20.100000000000001" hidden="1" customHeight="1">
      <c r="A233" s="180"/>
      <c r="B233" s="102" t="s">
        <v>1116</v>
      </c>
      <c r="C233" s="103" t="s">
        <v>10</v>
      </c>
      <c r="D233" s="104"/>
      <c r="E233" s="104">
        <v>2300000</v>
      </c>
      <c r="F233" s="175">
        <f t="shared" si="20"/>
        <v>-2300000</v>
      </c>
      <c r="G233" s="167">
        <f t="shared" si="20"/>
        <v>4600000</v>
      </c>
      <c r="H233" s="101" t="e">
        <f t="shared" si="19"/>
        <v>#VALUE!</v>
      </c>
      <c r="I233" s="101">
        <f t="shared" ref="I233:I250" si="22">F233-G233</f>
        <v>-6900000</v>
      </c>
      <c r="J233" s="101">
        <f t="shared" si="19"/>
        <v>-300</v>
      </c>
    </row>
    <row r="234" spans="1:10" ht="20.100000000000001" hidden="1" customHeight="1">
      <c r="A234" s="180"/>
      <c r="B234" s="102" t="s">
        <v>1117</v>
      </c>
      <c r="C234" s="103" t="s">
        <v>177</v>
      </c>
      <c r="D234" s="104"/>
      <c r="E234" s="104">
        <v>2300000</v>
      </c>
      <c r="F234" s="175">
        <f t="shared" si="20"/>
        <v>-2300000</v>
      </c>
      <c r="G234" s="167">
        <f t="shared" si="20"/>
        <v>4600000</v>
      </c>
      <c r="H234" s="101" t="e">
        <f t="shared" si="19"/>
        <v>#VALUE!</v>
      </c>
      <c r="I234" s="101">
        <f t="shared" si="22"/>
        <v>-6900000</v>
      </c>
      <c r="J234" s="101">
        <f t="shared" si="19"/>
        <v>-300</v>
      </c>
    </row>
    <row r="235" spans="1:10" ht="20.100000000000001" hidden="1" customHeight="1">
      <c r="A235" s="180"/>
      <c r="B235" s="102" t="s">
        <v>1118</v>
      </c>
      <c r="C235" s="103" t="s">
        <v>283</v>
      </c>
      <c r="D235" s="104">
        <v>2300000</v>
      </c>
      <c r="E235" s="104">
        <v>2300000</v>
      </c>
      <c r="F235" s="175">
        <f t="shared" si="20"/>
        <v>0</v>
      </c>
      <c r="G235" s="167">
        <f t="shared" si="20"/>
        <v>2300000</v>
      </c>
      <c r="H235" s="101" t="e">
        <f t="shared" si="19"/>
        <v>#VALUE!</v>
      </c>
      <c r="I235" s="101">
        <f t="shared" si="22"/>
        <v>-2300000</v>
      </c>
      <c r="J235" s="101">
        <f t="shared" si="19"/>
        <v>-100</v>
      </c>
    </row>
    <row r="236" spans="1:10" ht="20.100000000000001" hidden="1" customHeight="1">
      <c r="A236" s="180"/>
      <c r="B236" s="102" t="s">
        <v>1119</v>
      </c>
      <c r="C236" s="103" t="s">
        <v>143</v>
      </c>
      <c r="D236" s="104"/>
      <c r="E236" s="104">
        <v>39572000</v>
      </c>
      <c r="F236" s="175">
        <f t="shared" si="20"/>
        <v>-39572000</v>
      </c>
      <c r="G236" s="167">
        <f t="shared" si="20"/>
        <v>79144000</v>
      </c>
      <c r="H236" s="101" t="e">
        <f t="shared" si="19"/>
        <v>#VALUE!</v>
      </c>
      <c r="I236" s="101">
        <f t="shared" si="22"/>
        <v>-118716000</v>
      </c>
      <c r="J236" s="101">
        <f t="shared" si="19"/>
        <v>-300</v>
      </c>
    </row>
    <row r="237" spans="1:10" ht="20.100000000000001" hidden="1" customHeight="1">
      <c r="A237" s="180"/>
      <c r="B237" s="102" t="s">
        <v>1120</v>
      </c>
      <c r="C237" s="103" t="s">
        <v>145</v>
      </c>
      <c r="D237" s="104"/>
      <c r="E237" s="104">
        <v>1517000</v>
      </c>
      <c r="F237" s="175">
        <f t="shared" si="20"/>
        <v>-1517000</v>
      </c>
      <c r="G237" s="167">
        <f t="shared" si="20"/>
        <v>3034000</v>
      </c>
      <c r="H237" s="101" t="e">
        <f t="shared" si="19"/>
        <v>#VALUE!</v>
      </c>
      <c r="I237" s="101">
        <f t="shared" si="22"/>
        <v>-4551000</v>
      </c>
      <c r="J237" s="101">
        <f t="shared" si="19"/>
        <v>-300</v>
      </c>
    </row>
    <row r="238" spans="1:10" ht="20.100000000000001" hidden="1" customHeight="1">
      <c r="A238" s="180"/>
      <c r="B238" s="102" t="s">
        <v>1121</v>
      </c>
      <c r="C238" s="103" t="s">
        <v>147</v>
      </c>
      <c r="D238" s="104">
        <v>1517000</v>
      </c>
      <c r="E238" s="104">
        <v>1517000</v>
      </c>
      <c r="F238" s="175">
        <f t="shared" si="20"/>
        <v>0</v>
      </c>
      <c r="G238" s="167">
        <f t="shared" si="20"/>
        <v>1517000</v>
      </c>
      <c r="H238" s="101" t="e">
        <f t="shared" si="19"/>
        <v>#VALUE!</v>
      </c>
      <c r="I238" s="101">
        <f t="shared" si="22"/>
        <v>-1517000</v>
      </c>
      <c r="J238" s="101">
        <f t="shared" si="19"/>
        <v>-100</v>
      </c>
    </row>
    <row r="239" spans="1:10" ht="20.100000000000001" hidden="1" customHeight="1">
      <c r="A239" s="180"/>
      <c r="B239" s="102" t="s">
        <v>1122</v>
      </c>
      <c r="C239" s="103" t="s">
        <v>163</v>
      </c>
      <c r="D239" s="104"/>
      <c r="E239" s="104">
        <v>4000000</v>
      </c>
      <c r="F239" s="175">
        <f t="shared" si="20"/>
        <v>-4000000</v>
      </c>
      <c r="G239" s="167">
        <f t="shared" si="20"/>
        <v>8000000</v>
      </c>
      <c r="H239" s="101" t="e">
        <f t="shared" si="19"/>
        <v>#VALUE!</v>
      </c>
      <c r="I239" s="101">
        <f t="shared" si="22"/>
        <v>-12000000</v>
      </c>
      <c r="J239" s="101">
        <f t="shared" si="19"/>
        <v>-300</v>
      </c>
    </row>
    <row r="240" spans="1:10" ht="20.100000000000001" hidden="1" customHeight="1">
      <c r="A240" s="180"/>
      <c r="B240" s="102" t="s">
        <v>1123</v>
      </c>
      <c r="C240" s="103" t="s">
        <v>352</v>
      </c>
      <c r="D240" s="104">
        <v>4000000</v>
      </c>
      <c r="E240" s="104">
        <v>4000000</v>
      </c>
      <c r="F240" s="175">
        <f t="shared" si="20"/>
        <v>0</v>
      </c>
      <c r="G240" s="167">
        <f t="shared" si="20"/>
        <v>4000000</v>
      </c>
      <c r="H240" s="101" t="e">
        <f t="shared" si="19"/>
        <v>#VALUE!</v>
      </c>
      <c r="I240" s="101">
        <f t="shared" si="22"/>
        <v>-4000000</v>
      </c>
      <c r="J240" s="101">
        <f t="shared" si="19"/>
        <v>-100</v>
      </c>
    </row>
    <row r="241" spans="1:10" ht="20.100000000000001" hidden="1" customHeight="1">
      <c r="A241" s="180"/>
      <c r="B241" s="102" t="s">
        <v>1124</v>
      </c>
      <c r="C241" s="103" t="s">
        <v>151</v>
      </c>
      <c r="D241" s="104"/>
      <c r="E241" s="104">
        <v>1420000</v>
      </c>
      <c r="F241" s="175">
        <f t="shared" si="20"/>
        <v>-1420000</v>
      </c>
      <c r="G241" s="167">
        <f t="shared" si="20"/>
        <v>2840000</v>
      </c>
      <c r="H241" s="101" t="e">
        <f t="shared" si="19"/>
        <v>#VALUE!</v>
      </c>
      <c r="I241" s="101">
        <f t="shared" si="22"/>
        <v>-4260000</v>
      </c>
      <c r="J241" s="101">
        <f t="shared" si="19"/>
        <v>-300</v>
      </c>
    </row>
    <row r="242" spans="1:10" ht="20.100000000000001" hidden="1" customHeight="1">
      <c r="A242" s="180"/>
      <c r="B242" s="102" t="s">
        <v>1125</v>
      </c>
      <c r="C242" s="103" t="s">
        <v>153</v>
      </c>
      <c r="D242" s="104">
        <v>831000</v>
      </c>
      <c r="E242" s="104">
        <v>831000</v>
      </c>
      <c r="F242" s="175">
        <f t="shared" si="20"/>
        <v>0</v>
      </c>
      <c r="G242" s="167">
        <f t="shared" si="20"/>
        <v>831000</v>
      </c>
      <c r="H242" s="101" t="e">
        <f t="shared" si="19"/>
        <v>#VALUE!</v>
      </c>
      <c r="I242" s="101">
        <f t="shared" si="22"/>
        <v>-831000</v>
      </c>
      <c r="J242" s="101">
        <f t="shared" si="19"/>
        <v>-100</v>
      </c>
    </row>
    <row r="243" spans="1:10" ht="20.100000000000001" hidden="1" customHeight="1">
      <c r="A243" s="180"/>
      <c r="B243" s="102" t="s">
        <v>1126</v>
      </c>
      <c r="C243" s="103" t="s">
        <v>155</v>
      </c>
      <c r="D243" s="104">
        <v>589000</v>
      </c>
      <c r="E243" s="104">
        <v>589000</v>
      </c>
      <c r="F243" s="175">
        <f t="shared" si="20"/>
        <v>0</v>
      </c>
      <c r="G243" s="167">
        <f t="shared" si="20"/>
        <v>589000</v>
      </c>
      <c r="H243" s="101" t="e">
        <f t="shared" si="19"/>
        <v>#VALUE!</v>
      </c>
      <c r="I243" s="101">
        <f t="shared" si="22"/>
        <v>-589000</v>
      </c>
      <c r="J243" s="101">
        <f t="shared" si="19"/>
        <v>-100</v>
      </c>
    </row>
    <row r="244" spans="1:10" ht="20.100000000000001" hidden="1" customHeight="1">
      <c r="A244" s="180"/>
      <c r="B244" s="102" t="s">
        <v>1127</v>
      </c>
      <c r="C244" s="103" t="s">
        <v>193</v>
      </c>
      <c r="D244" s="104"/>
      <c r="E244" s="104">
        <v>7425000</v>
      </c>
      <c r="F244" s="175">
        <f t="shared" si="20"/>
        <v>-7425000</v>
      </c>
      <c r="G244" s="167">
        <f t="shared" si="20"/>
        <v>14850000</v>
      </c>
      <c r="H244" s="101" t="e">
        <f t="shared" si="19"/>
        <v>#VALUE!</v>
      </c>
      <c r="I244" s="101">
        <f t="shared" si="22"/>
        <v>-22275000</v>
      </c>
      <c r="J244" s="101">
        <f t="shared" si="19"/>
        <v>-300</v>
      </c>
    </row>
    <row r="245" spans="1:10" ht="20.100000000000001" hidden="1" customHeight="1">
      <c r="A245" s="180"/>
      <c r="B245" s="102" t="s">
        <v>1128</v>
      </c>
      <c r="C245" s="103" t="s">
        <v>195</v>
      </c>
      <c r="D245" s="104">
        <v>7425000</v>
      </c>
      <c r="E245" s="104">
        <v>7425000</v>
      </c>
      <c r="F245" s="175">
        <f t="shared" si="20"/>
        <v>0</v>
      </c>
      <c r="G245" s="167">
        <f t="shared" si="20"/>
        <v>7425000</v>
      </c>
      <c r="H245" s="101" t="e">
        <f t="shared" si="19"/>
        <v>#VALUE!</v>
      </c>
      <c r="I245" s="101">
        <f t="shared" si="22"/>
        <v>-7425000</v>
      </c>
      <c r="J245" s="101">
        <f t="shared" si="19"/>
        <v>-100</v>
      </c>
    </row>
    <row r="246" spans="1:10" ht="20.100000000000001" hidden="1" customHeight="1">
      <c r="A246" s="180"/>
      <c r="B246" s="102" t="s">
        <v>1129</v>
      </c>
      <c r="C246" s="103" t="s">
        <v>157</v>
      </c>
      <c r="D246" s="104"/>
      <c r="E246" s="104">
        <v>13360000</v>
      </c>
      <c r="F246" s="175">
        <f t="shared" si="20"/>
        <v>-13360000</v>
      </c>
      <c r="G246" s="167">
        <f t="shared" si="20"/>
        <v>26720000</v>
      </c>
      <c r="H246" s="101" t="e">
        <f t="shared" si="19"/>
        <v>#VALUE!</v>
      </c>
      <c r="I246" s="101">
        <f t="shared" si="22"/>
        <v>-40080000</v>
      </c>
      <c r="J246" s="101">
        <f t="shared" si="19"/>
        <v>-300</v>
      </c>
    </row>
    <row r="247" spans="1:10" ht="20.100000000000001" hidden="1" customHeight="1">
      <c r="A247" s="180"/>
      <c r="B247" s="102" t="s">
        <v>1130</v>
      </c>
      <c r="C247" s="103" t="s">
        <v>159</v>
      </c>
      <c r="D247" s="104">
        <v>4560000</v>
      </c>
      <c r="E247" s="104">
        <v>4560000</v>
      </c>
      <c r="F247" s="175">
        <f t="shared" si="20"/>
        <v>0</v>
      </c>
      <c r="G247" s="167">
        <f t="shared" si="20"/>
        <v>4560000</v>
      </c>
      <c r="H247" s="101" t="e">
        <f t="shared" si="19"/>
        <v>#VALUE!</v>
      </c>
      <c r="I247" s="101">
        <f t="shared" si="22"/>
        <v>-4560000</v>
      </c>
      <c r="J247" s="101">
        <f t="shared" si="19"/>
        <v>-100</v>
      </c>
    </row>
    <row r="248" spans="1:10" ht="20.100000000000001" hidden="1" customHeight="1">
      <c r="A248" s="180"/>
      <c r="B248" s="102" t="s">
        <v>1131</v>
      </c>
      <c r="C248" s="103" t="s">
        <v>207</v>
      </c>
      <c r="D248" s="104">
        <v>8800000</v>
      </c>
      <c r="E248" s="104">
        <v>8800000</v>
      </c>
      <c r="F248" s="175">
        <f t="shared" si="20"/>
        <v>0</v>
      </c>
      <c r="G248" s="167">
        <f t="shared" si="20"/>
        <v>8800000</v>
      </c>
      <c r="H248" s="101" t="e">
        <f t="shared" si="19"/>
        <v>#VALUE!</v>
      </c>
      <c r="I248" s="101">
        <f t="shared" si="22"/>
        <v>-8800000</v>
      </c>
      <c r="J248" s="101">
        <f t="shared" si="19"/>
        <v>-100</v>
      </c>
    </row>
    <row r="249" spans="1:10" ht="20.100000000000001" hidden="1" customHeight="1">
      <c r="A249" s="180"/>
      <c r="B249" s="102" t="s">
        <v>1132</v>
      </c>
      <c r="C249" s="103" t="s">
        <v>402</v>
      </c>
      <c r="D249" s="104"/>
      <c r="E249" s="104">
        <v>11850000</v>
      </c>
      <c r="F249" s="175">
        <f t="shared" si="20"/>
        <v>-11850000</v>
      </c>
      <c r="G249" s="167">
        <f t="shared" si="20"/>
        <v>23700000</v>
      </c>
      <c r="H249" s="101" t="e">
        <f t="shared" si="19"/>
        <v>#VALUE!</v>
      </c>
      <c r="I249" s="101">
        <f t="shared" si="22"/>
        <v>-35550000</v>
      </c>
      <c r="J249" s="101">
        <f t="shared" si="19"/>
        <v>-300</v>
      </c>
    </row>
    <row r="250" spans="1:10" ht="20.100000000000001" hidden="1" customHeight="1">
      <c r="A250" s="180"/>
      <c r="B250" s="102" t="s">
        <v>1133</v>
      </c>
      <c r="C250" s="103" t="s">
        <v>404</v>
      </c>
      <c r="D250" s="104">
        <v>11850000</v>
      </c>
      <c r="E250" s="104">
        <v>11850000</v>
      </c>
      <c r="F250" s="175">
        <f t="shared" si="20"/>
        <v>0</v>
      </c>
      <c r="G250" s="167">
        <f t="shared" si="20"/>
        <v>11850000</v>
      </c>
      <c r="H250" s="101" t="e">
        <f t="shared" si="19"/>
        <v>#VALUE!</v>
      </c>
      <c r="I250" s="101">
        <f t="shared" si="22"/>
        <v>-11850000</v>
      </c>
      <c r="J250" s="101">
        <f t="shared" si="19"/>
        <v>-100</v>
      </c>
    </row>
    <row r="251" spans="1:10" ht="20.100000000000001" customHeight="1">
      <c r="A251" s="178">
        <v>18</v>
      </c>
      <c r="B251" s="193" t="s">
        <v>1134</v>
      </c>
      <c r="C251" s="195" t="s">
        <v>504</v>
      </c>
      <c r="D251" s="197">
        <f>SUM(D254:D273)</f>
        <v>359641000</v>
      </c>
      <c r="E251" s="197">
        <f>'rekap REALISASI REKO '!AB329</f>
        <v>297000000</v>
      </c>
      <c r="F251" s="199">
        <f>D251-E251</f>
        <v>62641000</v>
      </c>
      <c r="G251" s="201">
        <f>'rekap REALISASI REKO '!AQ329</f>
        <v>268516000</v>
      </c>
      <c r="H251" s="214">
        <f>G251/E251*100</f>
        <v>90.40942760942761</v>
      </c>
      <c r="I251" s="214">
        <f>E251-G251</f>
        <v>28484000</v>
      </c>
      <c r="J251" s="214">
        <f>I251/E251*100</f>
        <v>9.5905723905723903</v>
      </c>
    </row>
    <row r="252" spans="1:10" ht="5.25" customHeight="1">
      <c r="A252" s="179"/>
      <c r="B252" s="194"/>
      <c r="C252" s="196"/>
      <c r="D252" s="198"/>
      <c r="E252" s="198"/>
      <c r="F252" s="200"/>
      <c r="G252" s="202"/>
      <c r="H252" s="215"/>
      <c r="I252" s="215"/>
      <c r="J252" s="215"/>
    </row>
    <row r="253" spans="1:10" ht="20.100000000000001" hidden="1" customHeight="1">
      <c r="A253" s="180"/>
      <c r="B253" s="102" t="s">
        <v>1135</v>
      </c>
      <c r="C253" s="103" t="s">
        <v>10</v>
      </c>
      <c r="D253" s="104"/>
      <c r="E253" s="104">
        <v>9610000</v>
      </c>
      <c r="F253" s="175">
        <f t="shared" si="20"/>
        <v>-9610000</v>
      </c>
      <c r="G253" s="167">
        <f t="shared" si="20"/>
        <v>19220000</v>
      </c>
      <c r="H253" s="101" t="e">
        <f t="shared" si="19"/>
        <v>#VALUE!</v>
      </c>
      <c r="I253" s="101">
        <f t="shared" ref="I253:I273" si="23">F253-G253</f>
        <v>-28830000</v>
      </c>
      <c r="J253" s="101">
        <f t="shared" si="19"/>
        <v>-300</v>
      </c>
    </row>
    <row r="254" spans="1:10" ht="20.100000000000001" hidden="1" customHeight="1">
      <c r="A254" s="180"/>
      <c r="B254" s="102" t="s">
        <v>1136</v>
      </c>
      <c r="C254" s="103" t="s">
        <v>177</v>
      </c>
      <c r="D254" s="104"/>
      <c r="E254" s="104">
        <v>9610000</v>
      </c>
      <c r="F254" s="175">
        <f t="shared" si="20"/>
        <v>-9610000</v>
      </c>
      <c r="G254" s="167">
        <f t="shared" si="20"/>
        <v>19220000</v>
      </c>
      <c r="H254" s="101" t="e">
        <f t="shared" si="19"/>
        <v>#VALUE!</v>
      </c>
      <c r="I254" s="101">
        <f t="shared" si="23"/>
        <v>-28830000</v>
      </c>
      <c r="J254" s="101">
        <f t="shared" si="19"/>
        <v>-300</v>
      </c>
    </row>
    <row r="255" spans="1:10" ht="20.100000000000001" hidden="1" customHeight="1">
      <c r="A255" s="180"/>
      <c r="B255" s="102" t="s">
        <v>1137</v>
      </c>
      <c r="C255" s="103" t="s">
        <v>283</v>
      </c>
      <c r="D255" s="104">
        <v>7800000</v>
      </c>
      <c r="E255" s="104">
        <v>7800000</v>
      </c>
      <c r="F255" s="175">
        <f t="shared" si="20"/>
        <v>0</v>
      </c>
      <c r="G255" s="167">
        <f t="shared" si="20"/>
        <v>7800000</v>
      </c>
      <c r="H255" s="101" t="e">
        <f t="shared" si="19"/>
        <v>#VALUE!</v>
      </c>
      <c r="I255" s="101">
        <f t="shared" si="23"/>
        <v>-7800000</v>
      </c>
      <c r="J255" s="101">
        <f t="shared" si="19"/>
        <v>-100</v>
      </c>
    </row>
    <row r="256" spans="1:10" ht="20.100000000000001" hidden="1" customHeight="1">
      <c r="A256" s="180"/>
      <c r="B256" s="102" t="s">
        <v>1138</v>
      </c>
      <c r="C256" s="103" t="s">
        <v>384</v>
      </c>
      <c r="D256" s="104">
        <v>1810000</v>
      </c>
      <c r="E256" s="104">
        <v>1810000</v>
      </c>
      <c r="F256" s="175">
        <f t="shared" si="20"/>
        <v>0</v>
      </c>
      <c r="G256" s="167">
        <f t="shared" si="20"/>
        <v>1810000</v>
      </c>
      <c r="H256" s="101" t="e">
        <f t="shared" si="19"/>
        <v>#VALUE!</v>
      </c>
      <c r="I256" s="101">
        <f t="shared" si="23"/>
        <v>-1810000</v>
      </c>
      <c r="J256" s="101">
        <f t="shared" si="19"/>
        <v>-100</v>
      </c>
    </row>
    <row r="257" spans="1:10" ht="20.100000000000001" hidden="1" customHeight="1">
      <c r="A257" s="180"/>
      <c r="B257" s="102" t="s">
        <v>1139</v>
      </c>
      <c r="C257" s="103" t="s">
        <v>143</v>
      </c>
      <c r="D257" s="104"/>
      <c r="E257" s="104">
        <v>350031000</v>
      </c>
      <c r="F257" s="175">
        <f t="shared" si="20"/>
        <v>-350031000</v>
      </c>
      <c r="G257" s="167">
        <f t="shared" si="20"/>
        <v>700062000</v>
      </c>
      <c r="H257" s="101" t="e">
        <f t="shared" si="19"/>
        <v>#VALUE!</v>
      </c>
      <c r="I257" s="101">
        <f t="shared" si="23"/>
        <v>-1050093000</v>
      </c>
      <c r="J257" s="101">
        <f t="shared" si="19"/>
        <v>-300</v>
      </c>
    </row>
    <row r="258" spans="1:10" ht="20.100000000000001" hidden="1" customHeight="1">
      <c r="A258" s="180"/>
      <c r="B258" s="102" t="s">
        <v>1140</v>
      </c>
      <c r="C258" s="103" t="s">
        <v>145</v>
      </c>
      <c r="D258" s="104"/>
      <c r="E258" s="104">
        <v>6199000</v>
      </c>
      <c r="F258" s="175">
        <f t="shared" si="20"/>
        <v>-6199000</v>
      </c>
      <c r="G258" s="167">
        <f t="shared" si="20"/>
        <v>12398000</v>
      </c>
      <c r="H258" s="101" t="e">
        <f t="shared" si="19"/>
        <v>#VALUE!</v>
      </c>
      <c r="I258" s="101">
        <f t="shared" si="23"/>
        <v>-18597000</v>
      </c>
      <c r="J258" s="101">
        <f t="shared" si="19"/>
        <v>-300</v>
      </c>
    </row>
    <row r="259" spans="1:10" ht="20.100000000000001" hidden="1" customHeight="1">
      <c r="A259" s="180"/>
      <c r="B259" s="102" t="s">
        <v>1141</v>
      </c>
      <c r="C259" s="103" t="s">
        <v>147</v>
      </c>
      <c r="D259" s="104">
        <v>6199000</v>
      </c>
      <c r="E259" s="104">
        <v>6199000</v>
      </c>
      <c r="F259" s="175">
        <f t="shared" si="20"/>
        <v>0</v>
      </c>
      <c r="G259" s="167">
        <f t="shared" si="20"/>
        <v>6199000</v>
      </c>
      <c r="H259" s="101" t="e">
        <f t="shared" si="19"/>
        <v>#VALUE!</v>
      </c>
      <c r="I259" s="101">
        <f t="shared" si="23"/>
        <v>-6199000</v>
      </c>
      <c r="J259" s="101">
        <f t="shared" si="19"/>
        <v>-100</v>
      </c>
    </row>
    <row r="260" spans="1:10" ht="20.100000000000001" hidden="1" customHeight="1">
      <c r="A260" s="180"/>
      <c r="B260" s="102" t="s">
        <v>1142</v>
      </c>
      <c r="C260" s="103" t="s">
        <v>389</v>
      </c>
      <c r="D260" s="104"/>
      <c r="E260" s="104">
        <v>164684000</v>
      </c>
      <c r="F260" s="175">
        <f t="shared" si="20"/>
        <v>-164684000</v>
      </c>
      <c r="G260" s="167">
        <f t="shared" si="20"/>
        <v>329368000</v>
      </c>
      <c r="H260" s="101" t="e">
        <f t="shared" si="19"/>
        <v>#VALUE!</v>
      </c>
      <c r="I260" s="101">
        <f t="shared" si="23"/>
        <v>-494052000</v>
      </c>
      <c r="J260" s="101">
        <f t="shared" si="19"/>
        <v>-300</v>
      </c>
    </row>
    <row r="261" spans="1:10" ht="20.100000000000001" hidden="1" customHeight="1">
      <c r="A261" s="180"/>
      <c r="B261" s="102" t="s">
        <v>1143</v>
      </c>
      <c r="C261" s="103" t="s">
        <v>391</v>
      </c>
      <c r="D261" s="104">
        <v>164684000</v>
      </c>
      <c r="E261" s="104">
        <v>164684000</v>
      </c>
      <c r="F261" s="175">
        <f t="shared" si="20"/>
        <v>0</v>
      </c>
      <c r="G261" s="167">
        <f t="shared" si="20"/>
        <v>164684000</v>
      </c>
      <c r="H261" s="101" t="e">
        <f t="shared" si="19"/>
        <v>#VALUE!</v>
      </c>
      <c r="I261" s="101">
        <f t="shared" si="23"/>
        <v>-164684000</v>
      </c>
      <c r="J261" s="101">
        <f t="shared" si="19"/>
        <v>-100</v>
      </c>
    </row>
    <row r="262" spans="1:10" ht="20.100000000000001" hidden="1" customHeight="1">
      <c r="A262" s="180"/>
      <c r="B262" s="102" t="s">
        <v>1144</v>
      </c>
      <c r="C262" s="103" t="s">
        <v>163</v>
      </c>
      <c r="D262" s="104"/>
      <c r="E262" s="104">
        <v>50000000</v>
      </c>
      <c r="F262" s="175">
        <f t="shared" si="20"/>
        <v>-50000000</v>
      </c>
      <c r="G262" s="167">
        <f t="shared" si="20"/>
        <v>100000000</v>
      </c>
      <c r="H262" s="101" t="e">
        <f t="shared" si="19"/>
        <v>#VALUE!</v>
      </c>
      <c r="I262" s="101">
        <f t="shared" si="23"/>
        <v>-150000000</v>
      </c>
      <c r="J262" s="101">
        <f t="shared" si="19"/>
        <v>-300</v>
      </c>
    </row>
    <row r="263" spans="1:10" ht="20.100000000000001" hidden="1" customHeight="1">
      <c r="A263" s="180"/>
      <c r="B263" s="102" t="s">
        <v>1145</v>
      </c>
      <c r="C263" s="103" t="s">
        <v>352</v>
      </c>
      <c r="D263" s="104">
        <v>50000000</v>
      </c>
      <c r="E263" s="104">
        <v>50000000</v>
      </c>
      <c r="F263" s="175">
        <f t="shared" si="20"/>
        <v>0</v>
      </c>
      <c r="G263" s="167">
        <f t="shared" si="20"/>
        <v>50000000</v>
      </c>
      <c r="H263" s="101" t="e">
        <f t="shared" si="19"/>
        <v>#VALUE!</v>
      </c>
      <c r="I263" s="101">
        <f t="shared" si="23"/>
        <v>-50000000</v>
      </c>
      <c r="J263" s="101">
        <f t="shared" si="19"/>
        <v>-100</v>
      </c>
    </row>
    <row r="264" spans="1:10" ht="20.100000000000001" hidden="1" customHeight="1">
      <c r="A264" s="180"/>
      <c r="B264" s="102" t="s">
        <v>1146</v>
      </c>
      <c r="C264" s="103" t="s">
        <v>151</v>
      </c>
      <c r="D264" s="104"/>
      <c r="E264" s="104">
        <v>6913000</v>
      </c>
      <c r="F264" s="175">
        <f t="shared" si="20"/>
        <v>-6913000</v>
      </c>
      <c r="G264" s="167">
        <f t="shared" si="20"/>
        <v>13826000</v>
      </c>
      <c r="H264" s="101" t="e">
        <f t="shared" si="19"/>
        <v>#VALUE!</v>
      </c>
      <c r="I264" s="101">
        <f t="shared" si="23"/>
        <v>-20739000</v>
      </c>
      <c r="J264" s="101">
        <f t="shared" si="19"/>
        <v>-300</v>
      </c>
    </row>
    <row r="265" spans="1:10" ht="20.100000000000001" hidden="1" customHeight="1">
      <c r="A265" s="180"/>
      <c r="B265" s="102" t="s">
        <v>1147</v>
      </c>
      <c r="C265" s="103" t="s">
        <v>153</v>
      </c>
      <c r="D265" s="104">
        <v>5563800</v>
      </c>
      <c r="E265" s="104">
        <v>5563800</v>
      </c>
      <c r="F265" s="175">
        <f t="shared" si="20"/>
        <v>0</v>
      </c>
      <c r="G265" s="167">
        <f t="shared" si="20"/>
        <v>5563800</v>
      </c>
      <c r="H265" s="101" t="e">
        <f t="shared" si="19"/>
        <v>#VALUE!</v>
      </c>
      <c r="I265" s="101">
        <f t="shared" si="23"/>
        <v>-5563800</v>
      </c>
      <c r="J265" s="101">
        <f t="shared" si="19"/>
        <v>-100</v>
      </c>
    </row>
    <row r="266" spans="1:10" ht="20.100000000000001" hidden="1" customHeight="1">
      <c r="A266" s="180"/>
      <c r="B266" s="102" t="s">
        <v>1148</v>
      </c>
      <c r="C266" s="103" t="s">
        <v>155</v>
      </c>
      <c r="D266" s="104">
        <v>1349200</v>
      </c>
      <c r="E266" s="104">
        <v>1349200</v>
      </c>
      <c r="F266" s="175">
        <f t="shared" si="20"/>
        <v>0</v>
      </c>
      <c r="G266" s="167">
        <f t="shared" si="20"/>
        <v>1349200</v>
      </c>
      <c r="H266" s="101" t="e">
        <f t="shared" ref="H266:J329" si="24">G266/C266*100</f>
        <v>#VALUE!</v>
      </c>
      <c r="I266" s="101">
        <f t="shared" si="23"/>
        <v>-1349200</v>
      </c>
      <c r="J266" s="101">
        <f t="shared" si="24"/>
        <v>-100</v>
      </c>
    </row>
    <row r="267" spans="1:10" ht="20.100000000000001" hidden="1" customHeight="1">
      <c r="A267" s="180"/>
      <c r="B267" s="102" t="s">
        <v>1149</v>
      </c>
      <c r="C267" s="103" t="s">
        <v>193</v>
      </c>
      <c r="D267" s="104"/>
      <c r="E267" s="104">
        <v>42525000</v>
      </c>
      <c r="F267" s="175">
        <f t="shared" ref="F267:G330" si="25">D267-E267</f>
        <v>-42525000</v>
      </c>
      <c r="G267" s="167">
        <f t="shared" si="25"/>
        <v>85050000</v>
      </c>
      <c r="H267" s="101" t="e">
        <f t="shared" si="24"/>
        <v>#VALUE!</v>
      </c>
      <c r="I267" s="101">
        <f t="shared" si="23"/>
        <v>-127575000</v>
      </c>
      <c r="J267" s="101">
        <f t="shared" si="24"/>
        <v>-300</v>
      </c>
    </row>
    <row r="268" spans="1:10" ht="20.100000000000001" hidden="1" customHeight="1">
      <c r="A268" s="180"/>
      <c r="B268" s="102" t="s">
        <v>1150</v>
      </c>
      <c r="C268" s="103" t="s">
        <v>195</v>
      </c>
      <c r="D268" s="104">
        <v>42525000</v>
      </c>
      <c r="E268" s="104">
        <v>42525000</v>
      </c>
      <c r="F268" s="175">
        <f t="shared" si="25"/>
        <v>0</v>
      </c>
      <c r="G268" s="167">
        <f t="shared" si="25"/>
        <v>42525000</v>
      </c>
      <c r="H268" s="101" t="e">
        <f t="shared" si="24"/>
        <v>#VALUE!</v>
      </c>
      <c r="I268" s="101">
        <f t="shared" si="23"/>
        <v>-42525000</v>
      </c>
      <c r="J268" s="101">
        <f t="shared" si="24"/>
        <v>-100</v>
      </c>
    </row>
    <row r="269" spans="1:10" ht="20.100000000000001" hidden="1" customHeight="1">
      <c r="A269" s="180"/>
      <c r="B269" s="102" t="s">
        <v>1151</v>
      </c>
      <c r="C269" s="103" t="s">
        <v>157</v>
      </c>
      <c r="D269" s="104"/>
      <c r="E269" s="104">
        <v>19710000</v>
      </c>
      <c r="F269" s="175">
        <f t="shared" si="25"/>
        <v>-19710000</v>
      </c>
      <c r="G269" s="167">
        <f t="shared" si="25"/>
        <v>39420000</v>
      </c>
      <c r="H269" s="101" t="e">
        <f t="shared" si="24"/>
        <v>#VALUE!</v>
      </c>
      <c r="I269" s="101">
        <f t="shared" si="23"/>
        <v>-59130000</v>
      </c>
      <c r="J269" s="101">
        <f t="shared" si="24"/>
        <v>-300</v>
      </c>
    </row>
    <row r="270" spans="1:10" ht="20.100000000000001" hidden="1" customHeight="1">
      <c r="A270" s="180"/>
      <c r="B270" s="102" t="s">
        <v>1152</v>
      </c>
      <c r="C270" s="103" t="s">
        <v>159</v>
      </c>
      <c r="D270" s="104">
        <v>16200000</v>
      </c>
      <c r="E270" s="104">
        <v>16200000</v>
      </c>
      <c r="F270" s="175">
        <f t="shared" si="25"/>
        <v>0</v>
      </c>
      <c r="G270" s="167">
        <f t="shared" si="25"/>
        <v>16200000</v>
      </c>
      <c r="H270" s="101" t="e">
        <f t="shared" si="24"/>
        <v>#VALUE!</v>
      </c>
      <c r="I270" s="101">
        <f t="shared" si="23"/>
        <v>-16200000</v>
      </c>
      <c r="J270" s="101">
        <f t="shared" si="24"/>
        <v>-100</v>
      </c>
    </row>
    <row r="271" spans="1:10" ht="20.100000000000001" hidden="1" customHeight="1">
      <c r="A271" s="180"/>
      <c r="B271" s="102" t="s">
        <v>1153</v>
      </c>
      <c r="C271" s="103" t="s">
        <v>207</v>
      </c>
      <c r="D271" s="104">
        <v>3510000</v>
      </c>
      <c r="E271" s="104">
        <v>3510000</v>
      </c>
      <c r="F271" s="175">
        <f t="shared" si="25"/>
        <v>0</v>
      </c>
      <c r="G271" s="167">
        <f t="shared" si="25"/>
        <v>3510000</v>
      </c>
      <c r="H271" s="101" t="e">
        <f t="shared" si="24"/>
        <v>#VALUE!</v>
      </c>
      <c r="I271" s="101">
        <f t="shared" si="23"/>
        <v>-3510000</v>
      </c>
      <c r="J271" s="101">
        <f t="shared" si="24"/>
        <v>-100</v>
      </c>
    </row>
    <row r="272" spans="1:10" ht="20.100000000000001" hidden="1" customHeight="1">
      <c r="A272" s="180"/>
      <c r="B272" s="102" t="s">
        <v>1154</v>
      </c>
      <c r="C272" s="103" t="s">
        <v>402</v>
      </c>
      <c r="D272" s="104"/>
      <c r="E272" s="104">
        <v>60000000</v>
      </c>
      <c r="F272" s="175">
        <f t="shared" si="25"/>
        <v>-60000000</v>
      </c>
      <c r="G272" s="167">
        <f t="shared" si="25"/>
        <v>120000000</v>
      </c>
      <c r="H272" s="101" t="e">
        <f t="shared" si="24"/>
        <v>#VALUE!</v>
      </c>
      <c r="I272" s="101">
        <f t="shared" si="23"/>
        <v>-180000000</v>
      </c>
      <c r="J272" s="101">
        <f t="shared" si="24"/>
        <v>-300</v>
      </c>
    </row>
    <row r="273" spans="1:10" ht="20.100000000000001" hidden="1" customHeight="1">
      <c r="A273" s="180"/>
      <c r="B273" s="102" t="s">
        <v>1155</v>
      </c>
      <c r="C273" s="103" t="s">
        <v>404</v>
      </c>
      <c r="D273" s="104">
        <v>60000000</v>
      </c>
      <c r="E273" s="104">
        <v>60000000</v>
      </c>
      <c r="F273" s="175">
        <f t="shared" si="25"/>
        <v>0</v>
      </c>
      <c r="G273" s="167">
        <f t="shared" si="25"/>
        <v>60000000</v>
      </c>
      <c r="H273" s="101" t="e">
        <f t="shared" si="24"/>
        <v>#VALUE!</v>
      </c>
      <c r="I273" s="101">
        <f t="shared" si="23"/>
        <v>-60000000</v>
      </c>
      <c r="J273" s="101">
        <f t="shared" si="24"/>
        <v>-100</v>
      </c>
    </row>
    <row r="274" spans="1:10" ht="20.100000000000001" customHeight="1">
      <c r="A274" s="178">
        <v>19</v>
      </c>
      <c r="B274" s="193" t="s">
        <v>1156</v>
      </c>
      <c r="C274" s="195" t="s">
        <v>527</v>
      </c>
      <c r="D274" s="197">
        <f>SUM(D277:D297)</f>
        <v>406093000</v>
      </c>
      <c r="E274" s="197">
        <f>'rekap REALISASI REKO '!AB351</f>
        <v>322575000</v>
      </c>
      <c r="F274" s="199">
        <f>D274-E274</f>
        <v>83518000</v>
      </c>
      <c r="G274" s="201">
        <f>'rekap REALISASI REKO '!AQ351</f>
        <v>317765975</v>
      </c>
      <c r="H274" s="214">
        <f>G274/E274*100</f>
        <v>98.509176160582811</v>
      </c>
      <c r="I274" s="214">
        <f>E274-G274</f>
        <v>4809025</v>
      </c>
      <c r="J274" s="214">
        <f>I274/E274*100</f>
        <v>1.4908238394171898</v>
      </c>
    </row>
    <row r="275" spans="1:10" ht="5.25" customHeight="1">
      <c r="A275" s="179"/>
      <c r="B275" s="194"/>
      <c r="C275" s="196"/>
      <c r="D275" s="198"/>
      <c r="E275" s="198"/>
      <c r="F275" s="200"/>
      <c r="G275" s="202"/>
      <c r="H275" s="215"/>
      <c r="I275" s="215"/>
      <c r="J275" s="215"/>
    </row>
    <row r="276" spans="1:10" ht="20.100000000000001" hidden="1" customHeight="1">
      <c r="A276" s="180"/>
      <c r="B276" s="102" t="s">
        <v>1157</v>
      </c>
      <c r="C276" s="103" t="s">
        <v>10</v>
      </c>
      <c r="D276" s="104"/>
      <c r="E276" s="104">
        <v>7900000</v>
      </c>
      <c r="F276" s="175">
        <f t="shared" si="25"/>
        <v>-7900000</v>
      </c>
      <c r="G276" s="167">
        <f t="shared" si="25"/>
        <v>15800000</v>
      </c>
      <c r="H276" s="101" t="e">
        <f t="shared" si="24"/>
        <v>#VALUE!</v>
      </c>
      <c r="I276" s="101">
        <f t="shared" ref="I276:I297" si="26">F276-G276</f>
        <v>-23700000</v>
      </c>
      <c r="J276" s="101">
        <f t="shared" si="24"/>
        <v>-300</v>
      </c>
    </row>
    <row r="277" spans="1:10" ht="20.100000000000001" hidden="1" customHeight="1">
      <c r="A277" s="180"/>
      <c r="B277" s="102" t="s">
        <v>1158</v>
      </c>
      <c r="C277" s="103" t="s">
        <v>177</v>
      </c>
      <c r="D277" s="104"/>
      <c r="E277" s="104">
        <v>7900000</v>
      </c>
      <c r="F277" s="175">
        <f t="shared" si="25"/>
        <v>-7900000</v>
      </c>
      <c r="G277" s="167">
        <f t="shared" si="25"/>
        <v>15800000</v>
      </c>
      <c r="H277" s="101" t="e">
        <f t="shared" si="24"/>
        <v>#VALUE!</v>
      </c>
      <c r="I277" s="101">
        <f t="shared" si="26"/>
        <v>-23700000</v>
      </c>
      <c r="J277" s="101">
        <f t="shared" si="24"/>
        <v>-300</v>
      </c>
    </row>
    <row r="278" spans="1:10" ht="20.100000000000001" hidden="1" customHeight="1">
      <c r="A278" s="180"/>
      <c r="B278" s="102" t="s">
        <v>1159</v>
      </c>
      <c r="C278" s="103" t="s">
        <v>283</v>
      </c>
      <c r="D278" s="104">
        <v>6600000</v>
      </c>
      <c r="E278" s="104">
        <v>6600000</v>
      </c>
      <c r="F278" s="175">
        <f t="shared" si="25"/>
        <v>0</v>
      </c>
      <c r="G278" s="167">
        <f t="shared" si="25"/>
        <v>6600000</v>
      </c>
      <c r="H278" s="101" t="e">
        <f t="shared" si="24"/>
        <v>#VALUE!</v>
      </c>
      <c r="I278" s="101">
        <f t="shared" si="26"/>
        <v>-6600000</v>
      </c>
      <c r="J278" s="101">
        <f t="shared" si="24"/>
        <v>-100</v>
      </c>
    </row>
    <row r="279" spans="1:10" ht="20.100000000000001" hidden="1" customHeight="1">
      <c r="A279" s="180"/>
      <c r="B279" s="102" t="s">
        <v>1160</v>
      </c>
      <c r="C279" s="103" t="s">
        <v>384</v>
      </c>
      <c r="D279" s="104">
        <v>1300000</v>
      </c>
      <c r="E279" s="104">
        <v>1300000</v>
      </c>
      <c r="F279" s="175">
        <f t="shared" si="25"/>
        <v>0</v>
      </c>
      <c r="G279" s="167">
        <f t="shared" si="25"/>
        <v>1300000</v>
      </c>
      <c r="H279" s="101" t="e">
        <f t="shared" si="24"/>
        <v>#VALUE!</v>
      </c>
      <c r="I279" s="101">
        <f t="shared" si="26"/>
        <v>-1300000</v>
      </c>
      <c r="J279" s="101">
        <f t="shared" si="24"/>
        <v>-100</v>
      </c>
    </row>
    <row r="280" spans="1:10" ht="20.100000000000001" hidden="1" customHeight="1">
      <c r="A280" s="180"/>
      <c r="B280" s="102" t="s">
        <v>1161</v>
      </c>
      <c r="C280" s="103" t="s">
        <v>143</v>
      </c>
      <c r="D280" s="104"/>
      <c r="E280" s="104">
        <v>398193000</v>
      </c>
      <c r="F280" s="175">
        <f t="shared" si="25"/>
        <v>-398193000</v>
      </c>
      <c r="G280" s="167">
        <f t="shared" si="25"/>
        <v>796386000</v>
      </c>
      <c r="H280" s="101" t="e">
        <f t="shared" si="24"/>
        <v>#VALUE!</v>
      </c>
      <c r="I280" s="101">
        <f t="shared" si="26"/>
        <v>-1194579000</v>
      </c>
      <c r="J280" s="101">
        <f t="shared" si="24"/>
        <v>-300</v>
      </c>
    </row>
    <row r="281" spans="1:10" ht="20.100000000000001" hidden="1" customHeight="1">
      <c r="A281" s="180"/>
      <c r="B281" s="102" t="s">
        <v>1162</v>
      </c>
      <c r="C281" s="103" t="s">
        <v>145</v>
      </c>
      <c r="D281" s="104"/>
      <c r="E281" s="104">
        <v>4801000</v>
      </c>
      <c r="F281" s="175">
        <f t="shared" si="25"/>
        <v>-4801000</v>
      </c>
      <c r="G281" s="167">
        <f t="shared" si="25"/>
        <v>9602000</v>
      </c>
      <c r="H281" s="101" t="e">
        <f t="shared" si="24"/>
        <v>#VALUE!</v>
      </c>
      <c r="I281" s="101">
        <f t="shared" si="26"/>
        <v>-14403000</v>
      </c>
      <c r="J281" s="101">
        <f t="shared" si="24"/>
        <v>-300</v>
      </c>
    </row>
    <row r="282" spans="1:10" ht="20.100000000000001" hidden="1" customHeight="1">
      <c r="A282" s="180"/>
      <c r="B282" s="102" t="s">
        <v>1163</v>
      </c>
      <c r="C282" s="103" t="s">
        <v>147</v>
      </c>
      <c r="D282" s="104">
        <v>4801000</v>
      </c>
      <c r="E282" s="104">
        <v>4801000</v>
      </c>
      <c r="F282" s="175">
        <f t="shared" si="25"/>
        <v>0</v>
      </c>
      <c r="G282" s="167">
        <f t="shared" si="25"/>
        <v>4801000</v>
      </c>
      <c r="H282" s="101" t="e">
        <f t="shared" si="24"/>
        <v>#VALUE!</v>
      </c>
      <c r="I282" s="101">
        <f t="shared" si="26"/>
        <v>-4801000</v>
      </c>
      <c r="J282" s="101">
        <f t="shared" si="24"/>
        <v>-100</v>
      </c>
    </row>
    <row r="283" spans="1:10" ht="20.100000000000001" hidden="1" customHeight="1">
      <c r="A283" s="180"/>
      <c r="B283" s="102" t="s">
        <v>1164</v>
      </c>
      <c r="C283" s="103" t="s">
        <v>389</v>
      </c>
      <c r="D283" s="104"/>
      <c r="E283" s="104">
        <v>93902000</v>
      </c>
      <c r="F283" s="175">
        <f t="shared" si="25"/>
        <v>-93902000</v>
      </c>
      <c r="G283" s="167">
        <f t="shared" si="25"/>
        <v>187804000</v>
      </c>
      <c r="H283" s="101" t="e">
        <f t="shared" si="24"/>
        <v>#VALUE!</v>
      </c>
      <c r="I283" s="101">
        <f t="shared" si="26"/>
        <v>-281706000</v>
      </c>
      <c r="J283" s="101">
        <f t="shared" si="24"/>
        <v>-300</v>
      </c>
    </row>
    <row r="284" spans="1:10" ht="20.100000000000001" hidden="1" customHeight="1">
      <c r="A284" s="180"/>
      <c r="B284" s="102" t="s">
        <v>1165</v>
      </c>
      <c r="C284" s="103" t="s">
        <v>391</v>
      </c>
      <c r="D284" s="104">
        <v>93902000</v>
      </c>
      <c r="E284" s="104">
        <v>93902000</v>
      </c>
      <c r="F284" s="175">
        <f t="shared" si="25"/>
        <v>0</v>
      </c>
      <c r="G284" s="167">
        <f t="shared" si="25"/>
        <v>93902000</v>
      </c>
      <c r="H284" s="101" t="e">
        <f t="shared" si="24"/>
        <v>#VALUE!</v>
      </c>
      <c r="I284" s="101">
        <f t="shared" si="26"/>
        <v>-93902000</v>
      </c>
      <c r="J284" s="101">
        <f t="shared" si="24"/>
        <v>-100</v>
      </c>
    </row>
    <row r="285" spans="1:10" ht="20.100000000000001" hidden="1" customHeight="1">
      <c r="A285" s="180"/>
      <c r="B285" s="102" t="s">
        <v>1166</v>
      </c>
      <c r="C285" s="103" t="s">
        <v>163</v>
      </c>
      <c r="D285" s="104"/>
      <c r="E285" s="104">
        <v>120120000</v>
      </c>
      <c r="F285" s="175">
        <f t="shared" si="25"/>
        <v>-120120000</v>
      </c>
      <c r="G285" s="167">
        <f t="shared" si="25"/>
        <v>240240000</v>
      </c>
      <c r="H285" s="101" t="e">
        <f t="shared" si="24"/>
        <v>#VALUE!</v>
      </c>
      <c r="I285" s="101">
        <f t="shared" si="26"/>
        <v>-360360000</v>
      </c>
      <c r="J285" s="101">
        <f t="shared" si="24"/>
        <v>-300</v>
      </c>
    </row>
    <row r="286" spans="1:10" ht="20.100000000000001" hidden="1" customHeight="1">
      <c r="A286" s="180"/>
      <c r="B286" s="102" t="s">
        <v>1167</v>
      </c>
      <c r="C286" s="103" t="s">
        <v>349</v>
      </c>
      <c r="D286" s="104">
        <v>1620000</v>
      </c>
      <c r="E286" s="104">
        <v>1620000</v>
      </c>
      <c r="F286" s="175">
        <f t="shared" si="25"/>
        <v>0</v>
      </c>
      <c r="G286" s="167">
        <f t="shared" si="25"/>
        <v>1620000</v>
      </c>
      <c r="H286" s="101" t="e">
        <f t="shared" si="24"/>
        <v>#VALUE!</v>
      </c>
      <c r="I286" s="101">
        <f t="shared" si="26"/>
        <v>-1620000</v>
      </c>
      <c r="J286" s="101">
        <f t="shared" si="24"/>
        <v>-100</v>
      </c>
    </row>
    <row r="287" spans="1:10" ht="20.100000000000001" hidden="1" customHeight="1">
      <c r="A287" s="180"/>
      <c r="B287" s="102" t="s">
        <v>1168</v>
      </c>
      <c r="C287" s="103" t="s">
        <v>352</v>
      </c>
      <c r="D287" s="104">
        <v>118500000</v>
      </c>
      <c r="E287" s="104">
        <v>118500000</v>
      </c>
      <c r="F287" s="175">
        <f t="shared" si="25"/>
        <v>0</v>
      </c>
      <c r="G287" s="167">
        <f t="shared" si="25"/>
        <v>118500000</v>
      </c>
      <c r="H287" s="101" t="e">
        <f t="shared" si="24"/>
        <v>#VALUE!</v>
      </c>
      <c r="I287" s="101">
        <f t="shared" si="26"/>
        <v>-118500000</v>
      </c>
      <c r="J287" s="101">
        <f t="shared" si="24"/>
        <v>-100</v>
      </c>
    </row>
    <row r="288" spans="1:10" ht="20.100000000000001" hidden="1" customHeight="1">
      <c r="A288" s="180"/>
      <c r="B288" s="102" t="s">
        <v>1169</v>
      </c>
      <c r="C288" s="103" t="s">
        <v>151</v>
      </c>
      <c r="D288" s="104"/>
      <c r="E288" s="104">
        <v>3070000</v>
      </c>
      <c r="F288" s="175">
        <f t="shared" si="25"/>
        <v>-3070000</v>
      </c>
      <c r="G288" s="167">
        <f t="shared" si="25"/>
        <v>6140000</v>
      </c>
      <c r="H288" s="101" t="e">
        <f t="shared" si="24"/>
        <v>#VALUE!</v>
      </c>
      <c r="I288" s="101">
        <f t="shared" si="26"/>
        <v>-9210000</v>
      </c>
      <c r="J288" s="101">
        <f t="shared" si="24"/>
        <v>-300</v>
      </c>
    </row>
    <row r="289" spans="1:10" ht="20.100000000000001" hidden="1" customHeight="1">
      <c r="A289" s="180"/>
      <c r="B289" s="102" t="s">
        <v>1170</v>
      </c>
      <c r="C289" s="103" t="s">
        <v>153</v>
      </c>
      <c r="D289" s="104">
        <v>1600000</v>
      </c>
      <c r="E289" s="104">
        <v>1600000</v>
      </c>
      <c r="F289" s="175">
        <f t="shared" si="25"/>
        <v>0</v>
      </c>
      <c r="G289" s="167">
        <f t="shared" si="25"/>
        <v>1600000</v>
      </c>
      <c r="H289" s="101" t="e">
        <f t="shared" si="24"/>
        <v>#VALUE!</v>
      </c>
      <c r="I289" s="101">
        <f t="shared" si="26"/>
        <v>-1600000</v>
      </c>
      <c r="J289" s="101">
        <f t="shared" si="24"/>
        <v>-100</v>
      </c>
    </row>
    <row r="290" spans="1:10" ht="20.100000000000001" hidden="1" customHeight="1">
      <c r="A290" s="180"/>
      <c r="B290" s="102" t="s">
        <v>1171</v>
      </c>
      <c r="C290" s="103" t="s">
        <v>155</v>
      </c>
      <c r="D290" s="104">
        <v>1470000</v>
      </c>
      <c r="E290" s="104">
        <v>1470000</v>
      </c>
      <c r="F290" s="175">
        <f t="shared" si="25"/>
        <v>0</v>
      </c>
      <c r="G290" s="167">
        <f t="shared" si="25"/>
        <v>1470000</v>
      </c>
      <c r="H290" s="101" t="e">
        <f t="shared" si="24"/>
        <v>#VALUE!</v>
      </c>
      <c r="I290" s="101">
        <f t="shared" si="26"/>
        <v>-1470000</v>
      </c>
      <c r="J290" s="101">
        <f t="shared" si="24"/>
        <v>-100</v>
      </c>
    </row>
    <row r="291" spans="1:10" ht="20.100000000000001" hidden="1" customHeight="1">
      <c r="A291" s="180"/>
      <c r="B291" s="102" t="s">
        <v>1172</v>
      </c>
      <c r="C291" s="103" t="s">
        <v>193</v>
      </c>
      <c r="D291" s="104"/>
      <c r="E291" s="104">
        <v>3000000</v>
      </c>
      <c r="F291" s="175">
        <f t="shared" si="25"/>
        <v>-3000000</v>
      </c>
      <c r="G291" s="167">
        <f t="shared" si="25"/>
        <v>6000000</v>
      </c>
      <c r="H291" s="101" t="e">
        <f t="shared" si="24"/>
        <v>#VALUE!</v>
      </c>
      <c r="I291" s="101">
        <f t="shared" si="26"/>
        <v>-9000000</v>
      </c>
      <c r="J291" s="101">
        <f t="shared" si="24"/>
        <v>-300</v>
      </c>
    </row>
    <row r="292" spans="1:10" ht="20.100000000000001" hidden="1" customHeight="1">
      <c r="A292" s="180"/>
      <c r="B292" s="102" t="s">
        <v>1173</v>
      </c>
      <c r="C292" s="103" t="s">
        <v>312</v>
      </c>
      <c r="D292" s="104">
        <v>3000000</v>
      </c>
      <c r="E292" s="104">
        <v>3000000</v>
      </c>
      <c r="F292" s="175">
        <f t="shared" si="25"/>
        <v>0</v>
      </c>
      <c r="G292" s="167">
        <f t="shared" si="25"/>
        <v>3000000</v>
      </c>
      <c r="H292" s="101" t="e">
        <f t="shared" si="24"/>
        <v>#VALUE!</v>
      </c>
      <c r="I292" s="101">
        <f t="shared" si="26"/>
        <v>-3000000</v>
      </c>
      <c r="J292" s="101">
        <f t="shared" si="24"/>
        <v>-100</v>
      </c>
    </row>
    <row r="293" spans="1:10" ht="20.100000000000001" hidden="1" customHeight="1">
      <c r="A293" s="180"/>
      <c r="B293" s="102" t="s">
        <v>1174</v>
      </c>
      <c r="C293" s="103" t="s">
        <v>157</v>
      </c>
      <c r="D293" s="104"/>
      <c r="E293" s="104">
        <v>16100000</v>
      </c>
      <c r="F293" s="175">
        <f t="shared" si="25"/>
        <v>-16100000</v>
      </c>
      <c r="G293" s="167">
        <f t="shared" si="25"/>
        <v>32200000</v>
      </c>
      <c r="H293" s="101" t="e">
        <f t="shared" si="24"/>
        <v>#VALUE!</v>
      </c>
      <c r="I293" s="101">
        <f t="shared" si="26"/>
        <v>-48300000</v>
      </c>
      <c r="J293" s="101">
        <f t="shared" si="24"/>
        <v>-300</v>
      </c>
    </row>
    <row r="294" spans="1:10" ht="20.100000000000001" hidden="1" customHeight="1">
      <c r="A294" s="180"/>
      <c r="B294" s="102" t="s">
        <v>1175</v>
      </c>
      <c r="C294" s="103" t="s">
        <v>159</v>
      </c>
      <c r="D294" s="104">
        <v>11500000</v>
      </c>
      <c r="E294" s="104">
        <v>11500000</v>
      </c>
      <c r="F294" s="175">
        <f t="shared" si="25"/>
        <v>0</v>
      </c>
      <c r="G294" s="167">
        <f t="shared" si="25"/>
        <v>11500000</v>
      </c>
      <c r="H294" s="101" t="e">
        <f t="shared" si="24"/>
        <v>#VALUE!</v>
      </c>
      <c r="I294" s="101">
        <f t="shared" si="26"/>
        <v>-11500000</v>
      </c>
      <c r="J294" s="101">
        <f t="shared" si="24"/>
        <v>-100</v>
      </c>
    </row>
    <row r="295" spans="1:10" ht="20.100000000000001" hidden="1" customHeight="1">
      <c r="A295" s="180"/>
      <c r="B295" s="102" t="s">
        <v>1176</v>
      </c>
      <c r="C295" s="103" t="s">
        <v>207</v>
      </c>
      <c r="D295" s="104">
        <v>4600000</v>
      </c>
      <c r="E295" s="104">
        <v>4600000</v>
      </c>
      <c r="F295" s="175">
        <f t="shared" si="25"/>
        <v>0</v>
      </c>
      <c r="G295" s="167">
        <f t="shared" si="25"/>
        <v>4600000</v>
      </c>
      <c r="H295" s="101" t="e">
        <f t="shared" si="24"/>
        <v>#VALUE!</v>
      </c>
      <c r="I295" s="101">
        <f t="shared" si="26"/>
        <v>-4600000</v>
      </c>
      <c r="J295" s="101">
        <f t="shared" si="24"/>
        <v>-100</v>
      </c>
    </row>
    <row r="296" spans="1:10" ht="20.100000000000001" hidden="1" customHeight="1">
      <c r="A296" s="180"/>
      <c r="B296" s="102" t="s">
        <v>1177</v>
      </c>
      <c r="C296" s="103" t="s">
        <v>402</v>
      </c>
      <c r="D296" s="104"/>
      <c r="E296" s="104">
        <v>157200000</v>
      </c>
      <c r="F296" s="175">
        <f t="shared" si="25"/>
        <v>-157200000</v>
      </c>
      <c r="G296" s="167">
        <f t="shared" si="25"/>
        <v>314400000</v>
      </c>
      <c r="H296" s="101" t="e">
        <f t="shared" si="24"/>
        <v>#VALUE!</v>
      </c>
      <c r="I296" s="101">
        <f t="shared" si="26"/>
        <v>-471600000</v>
      </c>
      <c r="J296" s="101">
        <f t="shared" si="24"/>
        <v>-300</v>
      </c>
    </row>
    <row r="297" spans="1:10" ht="20.100000000000001" hidden="1" customHeight="1">
      <c r="A297" s="180"/>
      <c r="B297" s="102" t="s">
        <v>1178</v>
      </c>
      <c r="C297" s="103" t="s">
        <v>404</v>
      </c>
      <c r="D297" s="104">
        <v>157200000</v>
      </c>
      <c r="E297" s="104">
        <v>157200000</v>
      </c>
      <c r="F297" s="175">
        <f t="shared" si="25"/>
        <v>0</v>
      </c>
      <c r="G297" s="167">
        <f t="shared" si="25"/>
        <v>157200000</v>
      </c>
      <c r="H297" s="101" t="e">
        <f t="shared" si="24"/>
        <v>#VALUE!</v>
      </c>
      <c r="I297" s="101">
        <f t="shared" si="26"/>
        <v>-157200000</v>
      </c>
      <c r="J297" s="101">
        <f t="shared" si="24"/>
        <v>-100</v>
      </c>
    </row>
    <row r="298" spans="1:10" ht="20.100000000000001" customHeight="1">
      <c r="A298" s="178">
        <v>20</v>
      </c>
      <c r="B298" s="193" t="s">
        <v>1179</v>
      </c>
      <c r="C298" s="195" t="s">
        <v>551</v>
      </c>
      <c r="D298" s="197">
        <f>SUM(D301:D321)</f>
        <v>122708000</v>
      </c>
      <c r="E298" s="197">
        <f>'rekap REALISASI REKO '!AB374</f>
        <v>120000000</v>
      </c>
      <c r="F298" s="199">
        <f>D298-E298</f>
        <v>2708000</v>
      </c>
      <c r="G298" s="201">
        <f>'rekap REALISASI REKO '!AQ374</f>
        <v>92417000</v>
      </c>
      <c r="H298" s="214">
        <f>G298/E298*100</f>
        <v>77.014166666666668</v>
      </c>
      <c r="I298" s="214">
        <f>E298-G298</f>
        <v>27583000</v>
      </c>
      <c r="J298" s="214">
        <f>I298/E298*100</f>
        <v>22.985833333333332</v>
      </c>
    </row>
    <row r="299" spans="1:10" ht="8.25" customHeight="1">
      <c r="A299" s="179"/>
      <c r="B299" s="194"/>
      <c r="C299" s="196"/>
      <c r="D299" s="198"/>
      <c r="E299" s="198"/>
      <c r="F299" s="200"/>
      <c r="G299" s="202"/>
      <c r="H299" s="215"/>
      <c r="I299" s="215"/>
      <c r="J299" s="215"/>
    </row>
    <row r="300" spans="1:10" ht="20.100000000000001" hidden="1" customHeight="1">
      <c r="A300" s="180"/>
      <c r="B300" s="102" t="s">
        <v>1180</v>
      </c>
      <c r="C300" s="103" t="s">
        <v>10</v>
      </c>
      <c r="D300" s="104"/>
      <c r="E300" s="104">
        <v>4890000</v>
      </c>
      <c r="F300" s="175">
        <f t="shared" si="25"/>
        <v>-4890000</v>
      </c>
      <c r="G300" s="167">
        <f t="shared" si="25"/>
        <v>9780000</v>
      </c>
      <c r="H300" s="101" t="e">
        <f t="shared" si="24"/>
        <v>#VALUE!</v>
      </c>
      <c r="I300" s="101">
        <f t="shared" ref="I300:I321" si="27">F300-G300</f>
        <v>-14670000</v>
      </c>
      <c r="J300" s="101">
        <f t="shared" si="24"/>
        <v>-300</v>
      </c>
    </row>
    <row r="301" spans="1:10" ht="20.100000000000001" hidden="1" customHeight="1">
      <c r="A301" s="180"/>
      <c r="B301" s="102" t="s">
        <v>1181</v>
      </c>
      <c r="C301" s="103" t="s">
        <v>177</v>
      </c>
      <c r="D301" s="104"/>
      <c r="E301" s="104">
        <v>3900000</v>
      </c>
      <c r="F301" s="175">
        <f t="shared" si="25"/>
        <v>-3900000</v>
      </c>
      <c r="G301" s="167">
        <f t="shared" si="25"/>
        <v>7800000</v>
      </c>
      <c r="H301" s="101" t="e">
        <f t="shared" si="24"/>
        <v>#VALUE!</v>
      </c>
      <c r="I301" s="101">
        <f t="shared" si="27"/>
        <v>-11700000</v>
      </c>
      <c r="J301" s="101">
        <f t="shared" si="24"/>
        <v>-300</v>
      </c>
    </row>
    <row r="302" spans="1:10" ht="20.100000000000001" hidden="1" customHeight="1">
      <c r="A302" s="180"/>
      <c r="B302" s="102" t="s">
        <v>1182</v>
      </c>
      <c r="C302" s="103" t="s">
        <v>283</v>
      </c>
      <c r="D302" s="104">
        <v>3900000</v>
      </c>
      <c r="E302" s="104">
        <v>3900000</v>
      </c>
      <c r="F302" s="175">
        <f t="shared" si="25"/>
        <v>0</v>
      </c>
      <c r="G302" s="167">
        <f t="shared" si="25"/>
        <v>3900000</v>
      </c>
      <c r="H302" s="101" t="e">
        <f t="shared" si="24"/>
        <v>#VALUE!</v>
      </c>
      <c r="I302" s="101">
        <f t="shared" si="27"/>
        <v>-3900000</v>
      </c>
      <c r="J302" s="101">
        <f t="shared" si="24"/>
        <v>-100</v>
      </c>
    </row>
    <row r="303" spans="1:10" ht="20.100000000000001" hidden="1" customHeight="1">
      <c r="A303" s="180"/>
      <c r="B303" s="102" t="s">
        <v>1183</v>
      </c>
      <c r="C303" s="103" t="s">
        <v>341</v>
      </c>
      <c r="D303" s="104"/>
      <c r="E303" s="104">
        <v>990000</v>
      </c>
      <c r="F303" s="175">
        <f t="shared" si="25"/>
        <v>-990000</v>
      </c>
      <c r="G303" s="167">
        <f t="shared" si="25"/>
        <v>1980000</v>
      </c>
      <c r="H303" s="101" t="e">
        <f t="shared" si="24"/>
        <v>#VALUE!</v>
      </c>
      <c r="I303" s="101">
        <f t="shared" si="27"/>
        <v>-2970000</v>
      </c>
      <c r="J303" s="101">
        <f t="shared" si="24"/>
        <v>-300</v>
      </c>
    </row>
    <row r="304" spans="1:10" ht="20.100000000000001" hidden="1" customHeight="1">
      <c r="A304" s="180"/>
      <c r="B304" s="102" t="s">
        <v>1184</v>
      </c>
      <c r="C304" s="103" t="s">
        <v>1185</v>
      </c>
      <c r="D304" s="104">
        <v>990000</v>
      </c>
      <c r="E304" s="104">
        <v>990000</v>
      </c>
      <c r="F304" s="175">
        <f t="shared" si="25"/>
        <v>0</v>
      </c>
      <c r="G304" s="167">
        <f t="shared" si="25"/>
        <v>990000</v>
      </c>
      <c r="H304" s="101" t="e">
        <f t="shared" si="24"/>
        <v>#VALUE!</v>
      </c>
      <c r="I304" s="101">
        <f t="shared" si="27"/>
        <v>-990000</v>
      </c>
      <c r="J304" s="101">
        <f t="shared" si="24"/>
        <v>-100</v>
      </c>
    </row>
    <row r="305" spans="1:10" ht="20.100000000000001" hidden="1" customHeight="1">
      <c r="A305" s="180"/>
      <c r="B305" s="102" t="s">
        <v>1186</v>
      </c>
      <c r="C305" s="103" t="s">
        <v>143</v>
      </c>
      <c r="D305" s="104"/>
      <c r="E305" s="104">
        <v>117818000</v>
      </c>
      <c r="F305" s="175">
        <f t="shared" si="25"/>
        <v>-117818000</v>
      </c>
      <c r="G305" s="167">
        <f t="shared" si="25"/>
        <v>235636000</v>
      </c>
      <c r="H305" s="101" t="e">
        <f t="shared" si="24"/>
        <v>#VALUE!</v>
      </c>
      <c r="I305" s="101">
        <f t="shared" si="27"/>
        <v>-353454000</v>
      </c>
      <c r="J305" s="101">
        <f t="shared" si="24"/>
        <v>-300</v>
      </c>
    </row>
    <row r="306" spans="1:10" ht="20.100000000000001" hidden="1" customHeight="1">
      <c r="A306" s="180"/>
      <c r="B306" s="102" t="s">
        <v>1187</v>
      </c>
      <c r="C306" s="103" t="s">
        <v>145</v>
      </c>
      <c r="D306" s="104"/>
      <c r="E306" s="104">
        <v>1540000</v>
      </c>
      <c r="F306" s="175">
        <f t="shared" si="25"/>
        <v>-1540000</v>
      </c>
      <c r="G306" s="167">
        <f t="shared" si="25"/>
        <v>3080000</v>
      </c>
      <c r="H306" s="101" t="e">
        <f t="shared" si="24"/>
        <v>#VALUE!</v>
      </c>
      <c r="I306" s="101">
        <f t="shared" si="27"/>
        <v>-4620000</v>
      </c>
      <c r="J306" s="101">
        <f t="shared" si="24"/>
        <v>-300</v>
      </c>
    </row>
    <row r="307" spans="1:10" ht="20.100000000000001" hidden="1" customHeight="1">
      <c r="A307" s="180"/>
      <c r="B307" s="102" t="s">
        <v>1188</v>
      </c>
      <c r="C307" s="103" t="s">
        <v>147</v>
      </c>
      <c r="D307" s="104">
        <v>1540000</v>
      </c>
      <c r="E307" s="104">
        <v>1540000</v>
      </c>
      <c r="F307" s="175">
        <f t="shared" si="25"/>
        <v>0</v>
      </c>
      <c r="G307" s="167">
        <f t="shared" si="25"/>
        <v>1540000</v>
      </c>
      <c r="H307" s="101" t="e">
        <f t="shared" si="24"/>
        <v>#VALUE!</v>
      </c>
      <c r="I307" s="101">
        <f t="shared" si="27"/>
        <v>-1540000</v>
      </c>
      <c r="J307" s="101">
        <f t="shared" si="24"/>
        <v>-100</v>
      </c>
    </row>
    <row r="308" spans="1:10" ht="20.100000000000001" hidden="1" customHeight="1">
      <c r="A308" s="180"/>
      <c r="B308" s="102" t="s">
        <v>1189</v>
      </c>
      <c r="C308" s="103" t="s">
        <v>163</v>
      </c>
      <c r="D308" s="104"/>
      <c r="E308" s="104">
        <v>19706000</v>
      </c>
      <c r="F308" s="175">
        <f t="shared" si="25"/>
        <v>-19706000</v>
      </c>
      <c r="G308" s="167">
        <f t="shared" si="25"/>
        <v>39412000</v>
      </c>
      <c r="H308" s="101" t="e">
        <f t="shared" si="24"/>
        <v>#VALUE!</v>
      </c>
      <c r="I308" s="101">
        <f t="shared" si="27"/>
        <v>-59118000</v>
      </c>
      <c r="J308" s="101">
        <f t="shared" si="24"/>
        <v>-300</v>
      </c>
    </row>
    <row r="309" spans="1:10" ht="20.100000000000001" hidden="1" customHeight="1">
      <c r="A309" s="180"/>
      <c r="B309" s="102" t="s">
        <v>1190</v>
      </c>
      <c r="C309" s="103" t="s">
        <v>349</v>
      </c>
      <c r="D309" s="104">
        <v>19706000</v>
      </c>
      <c r="E309" s="104">
        <v>19706000</v>
      </c>
      <c r="F309" s="175">
        <f t="shared" si="25"/>
        <v>0</v>
      </c>
      <c r="G309" s="167">
        <f t="shared" si="25"/>
        <v>19706000</v>
      </c>
      <c r="H309" s="101" t="e">
        <f t="shared" si="24"/>
        <v>#VALUE!</v>
      </c>
      <c r="I309" s="101">
        <f t="shared" si="27"/>
        <v>-19706000</v>
      </c>
      <c r="J309" s="101">
        <f t="shared" si="24"/>
        <v>-100</v>
      </c>
    </row>
    <row r="310" spans="1:10" ht="20.100000000000001" hidden="1" customHeight="1">
      <c r="A310" s="180"/>
      <c r="B310" s="102" t="s">
        <v>1191</v>
      </c>
      <c r="C310" s="103" t="s">
        <v>151</v>
      </c>
      <c r="D310" s="104"/>
      <c r="E310" s="104">
        <v>5156000</v>
      </c>
      <c r="F310" s="175">
        <f t="shared" si="25"/>
        <v>-5156000</v>
      </c>
      <c r="G310" s="167">
        <f t="shared" si="25"/>
        <v>10312000</v>
      </c>
      <c r="H310" s="101" t="e">
        <f t="shared" si="24"/>
        <v>#VALUE!</v>
      </c>
      <c r="I310" s="101">
        <f t="shared" si="27"/>
        <v>-15468000</v>
      </c>
      <c r="J310" s="101">
        <f t="shared" si="24"/>
        <v>-300</v>
      </c>
    </row>
    <row r="311" spans="1:10" ht="20.100000000000001" hidden="1" customHeight="1">
      <c r="A311" s="180"/>
      <c r="B311" s="102" t="s">
        <v>1192</v>
      </c>
      <c r="C311" s="103" t="s">
        <v>153</v>
      </c>
      <c r="D311" s="104">
        <v>3305000</v>
      </c>
      <c r="E311" s="104">
        <v>3305000</v>
      </c>
      <c r="F311" s="175">
        <f t="shared" si="25"/>
        <v>0</v>
      </c>
      <c r="G311" s="167">
        <f t="shared" si="25"/>
        <v>3305000</v>
      </c>
      <c r="H311" s="101" t="e">
        <f t="shared" si="24"/>
        <v>#VALUE!</v>
      </c>
      <c r="I311" s="101">
        <f t="shared" si="27"/>
        <v>-3305000</v>
      </c>
      <c r="J311" s="101">
        <f t="shared" si="24"/>
        <v>-100</v>
      </c>
    </row>
    <row r="312" spans="1:10" ht="20.100000000000001" hidden="1" customHeight="1">
      <c r="A312" s="180"/>
      <c r="B312" s="102" t="s">
        <v>1193</v>
      </c>
      <c r="C312" s="103" t="s">
        <v>155</v>
      </c>
      <c r="D312" s="104">
        <v>1851000</v>
      </c>
      <c r="E312" s="104">
        <v>1851000</v>
      </c>
      <c r="F312" s="175">
        <f t="shared" si="25"/>
        <v>0</v>
      </c>
      <c r="G312" s="167">
        <f t="shared" si="25"/>
        <v>1851000</v>
      </c>
      <c r="H312" s="101" t="e">
        <f t="shared" si="24"/>
        <v>#VALUE!</v>
      </c>
      <c r="I312" s="101">
        <f t="shared" si="27"/>
        <v>-1851000</v>
      </c>
      <c r="J312" s="101">
        <f t="shared" si="24"/>
        <v>-100</v>
      </c>
    </row>
    <row r="313" spans="1:10" ht="20.100000000000001" hidden="1" customHeight="1">
      <c r="A313" s="180"/>
      <c r="B313" s="102" t="s">
        <v>1194</v>
      </c>
      <c r="C313" s="103" t="s">
        <v>712</v>
      </c>
      <c r="D313" s="104"/>
      <c r="E313" s="104">
        <v>61000000</v>
      </c>
      <c r="F313" s="175">
        <f t="shared" si="25"/>
        <v>-61000000</v>
      </c>
      <c r="G313" s="167">
        <f t="shared" si="25"/>
        <v>122000000</v>
      </c>
      <c r="H313" s="101" t="e">
        <f t="shared" si="24"/>
        <v>#VALUE!</v>
      </c>
      <c r="I313" s="101">
        <f t="shared" si="27"/>
        <v>-183000000</v>
      </c>
      <c r="J313" s="101">
        <f t="shared" si="24"/>
        <v>-300</v>
      </c>
    </row>
    <row r="314" spans="1:10" ht="20.100000000000001" hidden="1" customHeight="1">
      <c r="A314" s="180"/>
      <c r="B314" s="102" t="s">
        <v>1195</v>
      </c>
      <c r="C314" s="103" t="s">
        <v>714</v>
      </c>
      <c r="D314" s="104">
        <v>61000000</v>
      </c>
      <c r="E314" s="104">
        <v>61000000</v>
      </c>
      <c r="F314" s="175">
        <f t="shared" si="25"/>
        <v>0</v>
      </c>
      <c r="G314" s="167">
        <f t="shared" si="25"/>
        <v>61000000</v>
      </c>
      <c r="H314" s="101" t="e">
        <f t="shared" si="24"/>
        <v>#VALUE!</v>
      </c>
      <c r="I314" s="101">
        <f t="shared" si="27"/>
        <v>-61000000</v>
      </c>
      <c r="J314" s="101">
        <f t="shared" si="24"/>
        <v>-100</v>
      </c>
    </row>
    <row r="315" spans="1:10" ht="20.100000000000001" hidden="1" customHeight="1">
      <c r="A315" s="180"/>
      <c r="B315" s="102" t="s">
        <v>1196</v>
      </c>
      <c r="C315" s="103" t="s">
        <v>565</v>
      </c>
      <c r="D315" s="104"/>
      <c r="E315" s="104">
        <v>1527000</v>
      </c>
      <c r="F315" s="175">
        <f t="shared" si="25"/>
        <v>-1527000</v>
      </c>
      <c r="G315" s="167">
        <f t="shared" si="25"/>
        <v>3054000</v>
      </c>
      <c r="H315" s="101" t="e">
        <f t="shared" si="24"/>
        <v>#VALUE!</v>
      </c>
      <c r="I315" s="101">
        <f t="shared" si="27"/>
        <v>-4581000</v>
      </c>
      <c r="J315" s="101">
        <f t="shared" si="24"/>
        <v>-300</v>
      </c>
    </row>
    <row r="316" spans="1:10" ht="20.100000000000001" hidden="1" customHeight="1">
      <c r="A316" s="180"/>
      <c r="B316" s="102" t="s">
        <v>1197</v>
      </c>
      <c r="C316" s="103" t="s">
        <v>567</v>
      </c>
      <c r="D316" s="104">
        <v>1527000</v>
      </c>
      <c r="E316" s="104">
        <v>1527000</v>
      </c>
      <c r="F316" s="175">
        <f t="shared" si="25"/>
        <v>0</v>
      </c>
      <c r="G316" s="167">
        <f t="shared" si="25"/>
        <v>1527000</v>
      </c>
      <c r="H316" s="101" t="e">
        <f t="shared" si="24"/>
        <v>#VALUE!</v>
      </c>
      <c r="I316" s="101">
        <f t="shared" si="27"/>
        <v>-1527000</v>
      </c>
      <c r="J316" s="101">
        <f t="shared" si="24"/>
        <v>-100</v>
      </c>
    </row>
    <row r="317" spans="1:10" ht="20.100000000000001" hidden="1" customHeight="1">
      <c r="A317" s="180"/>
      <c r="B317" s="102" t="s">
        <v>1198</v>
      </c>
      <c r="C317" s="103" t="s">
        <v>193</v>
      </c>
      <c r="D317" s="104"/>
      <c r="E317" s="104">
        <v>7809000</v>
      </c>
      <c r="F317" s="175">
        <f t="shared" si="25"/>
        <v>-7809000</v>
      </c>
      <c r="G317" s="167">
        <f t="shared" si="25"/>
        <v>15618000</v>
      </c>
      <c r="H317" s="101" t="e">
        <f t="shared" si="24"/>
        <v>#VALUE!</v>
      </c>
      <c r="I317" s="101">
        <f t="shared" si="27"/>
        <v>-23427000</v>
      </c>
      <c r="J317" s="101">
        <f t="shared" si="24"/>
        <v>-300</v>
      </c>
    </row>
    <row r="318" spans="1:10" ht="20.100000000000001" hidden="1" customHeight="1">
      <c r="A318" s="180"/>
      <c r="B318" s="102" t="s">
        <v>1199</v>
      </c>
      <c r="C318" s="103" t="s">
        <v>312</v>
      </c>
      <c r="D318" s="104">
        <v>7809000</v>
      </c>
      <c r="E318" s="104">
        <v>7809000</v>
      </c>
      <c r="F318" s="175">
        <f t="shared" si="25"/>
        <v>0</v>
      </c>
      <c r="G318" s="167">
        <f t="shared" si="25"/>
        <v>7809000</v>
      </c>
      <c r="H318" s="101" t="e">
        <f t="shared" si="24"/>
        <v>#VALUE!</v>
      </c>
      <c r="I318" s="101">
        <f t="shared" si="27"/>
        <v>-7809000</v>
      </c>
      <c r="J318" s="101">
        <f t="shared" si="24"/>
        <v>-100</v>
      </c>
    </row>
    <row r="319" spans="1:10" ht="20.100000000000001" hidden="1" customHeight="1">
      <c r="A319" s="180"/>
      <c r="B319" s="102" t="s">
        <v>1200</v>
      </c>
      <c r="C319" s="103" t="s">
        <v>157</v>
      </c>
      <c r="D319" s="104"/>
      <c r="E319" s="104">
        <v>21080000</v>
      </c>
      <c r="F319" s="175">
        <f t="shared" si="25"/>
        <v>-21080000</v>
      </c>
      <c r="G319" s="167">
        <f t="shared" si="25"/>
        <v>42160000</v>
      </c>
      <c r="H319" s="101" t="e">
        <f t="shared" si="24"/>
        <v>#VALUE!</v>
      </c>
      <c r="I319" s="101">
        <f t="shared" si="27"/>
        <v>-63240000</v>
      </c>
      <c r="J319" s="101">
        <f t="shared" si="24"/>
        <v>-300</v>
      </c>
    </row>
    <row r="320" spans="1:10" ht="20.100000000000001" hidden="1" customHeight="1">
      <c r="A320" s="180"/>
      <c r="B320" s="102" t="s">
        <v>1201</v>
      </c>
      <c r="C320" s="103" t="s">
        <v>159</v>
      </c>
      <c r="D320" s="104">
        <v>9280000</v>
      </c>
      <c r="E320" s="104">
        <v>9280000</v>
      </c>
      <c r="F320" s="175">
        <f t="shared" si="25"/>
        <v>0</v>
      </c>
      <c r="G320" s="167">
        <f t="shared" si="25"/>
        <v>9280000</v>
      </c>
      <c r="H320" s="101" t="e">
        <f t="shared" si="24"/>
        <v>#VALUE!</v>
      </c>
      <c r="I320" s="101">
        <f t="shared" si="27"/>
        <v>-9280000</v>
      </c>
      <c r="J320" s="101">
        <f t="shared" si="24"/>
        <v>-100</v>
      </c>
    </row>
    <row r="321" spans="1:10" ht="20.100000000000001" hidden="1" customHeight="1">
      <c r="A321" s="180"/>
      <c r="B321" s="102" t="s">
        <v>1202</v>
      </c>
      <c r="C321" s="103" t="s">
        <v>207</v>
      </c>
      <c r="D321" s="104">
        <v>11800000</v>
      </c>
      <c r="E321" s="104">
        <v>11800000</v>
      </c>
      <c r="F321" s="175">
        <f t="shared" si="25"/>
        <v>0</v>
      </c>
      <c r="G321" s="167">
        <f t="shared" si="25"/>
        <v>11800000</v>
      </c>
      <c r="H321" s="101" t="e">
        <f t="shared" si="24"/>
        <v>#VALUE!</v>
      </c>
      <c r="I321" s="101">
        <f t="shared" si="27"/>
        <v>-11800000</v>
      </c>
      <c r="J321" s="101">
        <f t="shared" si="24"/>
        <v>-100</v>
      </c>
    </row>
    <row r="322" spans="1:10" ht="20.100000000000001" customHeight="1">
      <c r="A322" s="178">
        <v>21</v>
      </c>
      <c r="B322" s="193" t="s">
        <v>1203</v>
      </c>
      <c r="C322" s="195" t="s">
        <v>576</v>
      </c>
      <c r="D322" s="197">
        <f>SUM(D325:D343)</f>
        <v>274332000</v>
      </c>
      <c r="E322" s="197">
        <f>'rekap REALISASI REKO '!AB395</f>
        <v>257000000</v>
      </c>
      <c r="F322" s="199">
        <f>D322-E322</f>
        <v>17332000</v>
      </c>
      <c r="G322" s="201">
        <v>132667400</v>
      </c>
      <c r="H322" s="214">
        <f>G322/E322*100</f>
        <v>51.62155642023346</v>
      </c>
      <c r="I322" s="214">
        <f>E322-G322</f>
        <v>124332600</v>
      </c>
      <c r="J322" s="214">
        <f>I322/E322*100</f>
        <v>48.37844357976654</v>
      </c>
    </row>
    <row r="323" spans="1:10" ht="20.100000000000001" customHeight="1">
      <c r="A323" s="179"/>
      <c r="B323" s="194"/>
      <c r="C323" s="196"/>
      <c r="D323" s="198"/>
      <c r="E323" s="198"/>
      <c r="F323" s="200"/>
      <c r="G323" s="202"/>
      <c r="H323" s="215"/>
      <c r="I323" s="215"/>
      <c r="J323" s="215"/>
    </row>
    <row r="324" spans="1:10" ht="20.100000000000001" hidden="1" customHeight="1">
      <c r="A324" s="180"/>
      <c r="B324" s="102" t="s">
        <v>1204</v>
      </c>
      <c r="C324" s="103" t="s">
        <v>10</v>
      </c>
      <c r="D324" s="104"/>
      <c r="E324" s="104">
        <v>83600000</v>
      </c>
      <c r="F324" s="175">
        <f t="shared" si="25"/>
        <v>-83600000</v>
      </c>
      <c r="G324" s="167">
        <f t="shared" si="25"/>
        <v>167200000</v>
      </c>
      <c r="H324" s="101" t="e">
        <f t="shared" si="24"/>
        <v>#VALUE!</v>
      </c>
      <c r="I324" s="101">
        <f t="shared" ref="I324:I343" si="28">F324-G324</f>
        <v>-250800000</v>
      </c>
      <c r="J324" s="101">
        <f t="shared" si="24"/>
        <v>-300</v>
      </c>
    </row>
    <row r="325" spans="1:10" ht="20.100000000000001" hidden="1" customHeight="1">
      <c r="A325" s="180"/>
      <c r="B325" s="102" t="s">
        <v>1205</v>
      </c>
      <c r="C325" s="103" t="s">
        <v>177</v>
      </c>
      <c r="D325" s="104"/>
      <c r="E325" s="104">
        <v>10600000</v>
      </c>
      <c r="F325" s="175">
        <f t="shared" si="25"/>
        <v>-10600000</v>
      </c>
      <c r="G325" s="167">
        <f t="shared" si="25"/>
        <v>21200000</v>
      </c>
      <c r="H325" s="101" t="e">
        <f t="shared" si="24"/>
        <v>#VALUE!</v>
      </c>
      <c r="I325" s="101">
        <f t="shared" si="28"/>
        <v>-31800000</v>
      </c>
      <c r="J325" s="101">
        <f t="shared" si="24"/>
        <v>-300</v>
      </c>
    </row>
    <row r="326" spans="1:10" ht="20.100000000000001" hidden="1" customHeight="1">
      <c r="A326" s="180"/>
      <c r="B326" s="102" t="s">
        <v>1206</v>
      </c>
      <c r="C326" s="103" t="s">
        <v>283</v>
      </c>
      <c r="D326" s="104">
        <v>10600000</v>
      </c>
      <c r="E326" s="104">
        <v>10600000</v>
      </c>
      <c r="F326" s="175">
        <f t="shared" si="25"/>
        <v>0</v>
      </c>
      <c r="G326" s="167">
        <f t="shared" si="25"/>
        <v>10600000</v>
      </c>
      <c r="H326" s="101" t="e">
        <f t="shared" si="24"/>
        <v>#VALUE!</v>
      </c>
      <c r="I326" s="101">
        <f t="shared" si="28"/>
        <v>-10600000</v>
      </c>
      <c r="J326" s="101">
        <f t="shared" si="24"/>
        <v>-100</v>
      </c>
    </row>
    <row r="327" spans="1:10" ht="20.100000000000001" hidden="1" customHeight="1">
      <c r="A327" s="180"/>
      <c r="B327" s="102" t="s">
        <v>1207</v>
      </c>
      <c r="C327" s="103" t="s">
        <v>341</v>
      </c>
      <c r="D327" s="104"/>
      <c r="E327" s="104">
        <v>73000000</v>
      </c>
      <c r="F327" s="175">
        <f t="shared" si="25"/>
        <v>-73000000</v>
      </c>
      <c r="G327" s="167">
        <f t="shared" si="25"/>
        <v>146000000</v>
      </c>
      <c r="H327" s="101" t="e">
        <f t="shared" si="24"/>
        <v>#VALUE!</v>
      </c>
      <c r="I327" s="101">
        <f t="shared" si="28"/>
        <v>-219000000</v>
      </c>
      <c r="J327" s="101">
        <f t="shared" si="24"/>
        <v>-300</v>
      </c>
    </row>
    <row r="328" spans="1:10" ht="20.100000000000001" hidden="1" customHeight="1">
      <c r="A328" s="180"/>
      <c r="B328" s="102" t="s">
        <v>1208</v>
      </c>
      <c r="C328" s="103" t="s">
        <v>283</v>
      </c>
      <c r="D328" s="104">
        <v>73000000</v>
      </c>
      <c r="E328" s="104">
        <v>73000000</v>
      </c>
      <c r="F328" s="175">
        <f t="shared" si="25"/>
        <v>0</v>
      </c>
      <c r="G328" s="167">
        <f t="shared" si="25"/>
        <v>73000000</v>
      </c>
      <c r="H328" s="101" t="e">
        <f t="shared" si="24"/>
        <v>#VALUE!</v>
      </c>
      <c r="I328" s="101">
        <f t="shared" si="28"/>
        <v>-73000000</v>
      </c>
      <c r="J328" s="101">
        <f t="shared" si="24"/>
        <v>-100</v>
      </c>
    </row>
    <row r="329" spans="1:10" ht="20.100000000000001" hidden="1" customHeight="1">
      <c r="A329" s="180"/>
      <c r="B329" s="102" t="s">
        <v>1209</v>
      </c>
      <c r="C329" s="103" t="s">
        <v>143</v>
      </c>
      <c r="D329" s="104"/>
      <c r="E329" s="104">
        <v>190732000</v>
      </c>
      <c r="F329" s="175">
        <f t="shared" si="25"/>
        <v>-190732000</v>
      </c>
      <c r="G329" s="167">
        <f t="shared" si="25"/>
        <v>381464000</v>
      </c>
      <c r="H329" s="101" t="e">
        <f t="shared" si="24"/>
        <v>#VALUE!</v>
      </c>
      <c r="I329" s="101">
        <f t="shared" si="28"/>
        <v>-572196000</v>
      </c>
      <c r="J329" s="101">
        <f t="shared" si="24"/>
        <v>-300</v>
      </c>
    </row>
    <row r="330" spans="1:10" ht="20.100000000000001" hidden="1" customHeight="1">
      <c r="A330" s="180"/>
      <c r="B330" s="102" t="s">
        <v>1210</v>
      </c>
      <c r="C330" s="103" t="s">
        <v>145</v>
      </c>
      <c r="D330" s="104"/>
      <c r="E330" s="104">
        <v>4158000</v>
      </c>
      <c r="F330" s="175">
        <f t="shared" si="25"/>
        <v>-4158000</v>
      </c>
      <c r="G330" s="167">
        <f t="shared" si="25"/>
        <v>8316000</v>
      </c>
      <c r="H330" s="101" t="e">
        <f t="shared" ref="H330:J393" si="29">G330/C330*100</f>
        <v>#VALUE!</v>
      </c>
      <c r="I330" s="101">
        <f t="shared" si="28"/>
        <v>-12474000</v>
      </c>
      <c r="J330" s="101">
        <f t="shared" si="29"/>
        <v>-300</v>
      </c>
    </row>
    <row r="331" spans="1:10" ht="20.100000000000001" hidden="1" customHeight="1">
      <c r="A331" s="180"/>
      <c r="B331" s="102" t="s">
        <v>1211</v>
      </c>
      <c r="C331" s="103" t="s">
        <v>147</v>
      </c>
      <c r="D331" s="104">
        <v>4158000</v>
      </c>
      <c r="E331" s="104">
        <v>4158000</v>
      </c>
      <c r="F331" s="175">
        <f t="shared" ref="F331:G394" si="30">D331-E331</f>
        <v>0</v>
      </c>
      <c r="G331" s="167">
        <f t="shared" si="30"/>
        <v>4158000</v>
      </c>
      <c r="H331" s="101" t="e">
        <f t="shared" si="29"/>
        <v>#VALUE!</v>
      </c>
      <c r="I331" s="101">
        <f t="shared" si="28"/>
        <v>-4158000</v>
      </c>
      <c r="J331" s="101">
        <f t="shared" si="29"/>
        <v>-100</v>
      </c>
    </row>
    <row r="332" spans="1:10" ht="20.100000000000001" hidden="1" customHeight="1">
      <c r="A332" s="180"/>
      <c r="B332" s="102" t="s">
        <v>1212</v>
      </c>
      <c r="C332" s="103" t="s">
        <v>163</v>
      </c>
      <c r="D332" s="104"/>
      <c r="E332" s="104">
        <v>57500000</v>
      </c>
      <c r="F332" s="175">
        <f t="shared" si="30"/>
        <v>-57500000</v>
      </c>
      <c r="G332" s="167">
        <f t="shared" si="30"/>
        <v>115000000</v>
      </c>
      <c r="H332" s="101" t="e">
        <f t="shared" si="29"/>
        <v>#VALUE!</v>
      </c>
      <c r="I332" s="101">
        <f t="shared" si="28"/>
        <v>-172500000</v>
      </c>
      <c r="J332" s="101">
        <f t="shared" si="29"/>
        <v>-300</v>
      </c>
    </row>
    <row r="333" spans="1:10" ht="20.100000000000001" hidden="1" customHeight="1">
      <c r="A333" s="180"/>
      <c r="B333" s="102" t="s">
        <v>1213</v>
      </c>
      <c r="C333" s="103" t="s">
        <v>447</v>
      </c>
      <c r="D333" s="104">
        <v>15000000</v>
      </c>
      <c r="E333" s="104">
        <v>15000000</v>
      </c>
      <c r="F333" s="175">
        <f t="shared" si="30"/>
        <v>0</v>
      </c>
      <c r="G333" s="167">
        <f t="shared" si="30"/>
        <v>15000000</v>
      </c>
      <c r="H333" s="101" t="e">
        <f t="shared" si="29"/>
        <v>#VALUE!</v>
      </c>
      <c r="I333" s="101">
        <f t="shared" si="28"/>
        <v>-15000000</v>
      </c>
      <c r="J333" s="101">
        <f t="shared" si="29"/>
        <v>-100</v>
      </c>
    </row>
    <row r="334" spans="1:10" ht="20.100000000000001" hidden="1" customHeight="1">
      <c r="A334" s="180"/>
      <c r="B334" s="102" t="s">
        <v>1214</v>
      </c>
      <c r="C334" s="103" t="s">
        <v>352</v>
      </c>
      <c r="D334" s="104">
        <v>42500000</v>
      </c>
      <c r="E334" s="104">
        <v>42500000</v>
      </c>
      <c r="F334" s="175">
        <f t="shared" si="30"/>
        <v>0</v>
      </c>
      <c r="G334" s="167">
        <f t="shared" si="30"/>
        <v>42500000</v>
      </c>
      <c r="H334" s="101" t="e">
        <f t="shared" si="29"/>
        <v>#VALUE!</v>
      </c>
      <c r="I334" s="101">
        <f t="shared" si="28"/>
        <v>-42500000</v>
      </c>
      <c r="J334" s="101">
        <f t="shared" si="29"/>
        <v>-100</v>
      </c>
    </row>
    <row r="335" spans="1:10" ht="20.100000000000001" hidden="1" customHeight="1">
      <c r="A335" s="180"/>
      <c r="B335" s="102" t="s">
        <v>1215</v>
      </c>
      <c r="C335" s="103" t="s">
        <v>151</v>
      </c>
      <c r="D335" s="104"/>
      <c r="E335" s="104">
        <v>3159000</v>
      </c>
      <c r="F335" s="175">
        <f t="shared" si="30"/>
        <v>-3159000</v>
      </c>
      <c r="G335" s="167">
        <f t="shared" si="30"/>
        <v>6318000</v>
      </c>
      <c r="H335" s="101" t="e">
        <f t="shared" si="29"/>
        <v>#VALUE!</v>
      </c>
      <c r="I335" s="101">
        <f t="shared" si="28"/>
        <v>-9477000</v>
      </c>
      <c r="J335" s="101">
        <f t="shared" si="29"/>
        <v>-300</v>
      </c>
    </row>
    <row r="336" spans="1:10" ht="20.100000000000001" hidden="1" customHeight="1">
      <c r="A336" s="180"/>
      <c r="B336" s="102" t="s">
        <v>1216</v>
      </c>
      <c r="C336" s="103" t="s">
        <v>155</v>
      </c>
      <c r="D336" s="104">
        <v>3159000</v>
      </c>
      <c r="E336" s="104">
        <v>3159000</v>
      </c>
      <c r="F336" s="175">
        <f t="shared" si="30"/>
        <v>0</v>
      </c>
      <c r="G336" s="167">
        <f t="shared" si="30"/>
        <v>3159000</v>
      </c>
      <c r="H336" s="101" t="e">
        <f t="shared" si="29"/>
        <v>#VALUE!</v>
      </c>
      <c r="I336" s="101">
        <f t="shared" si="28"/>
        <v>-3159000</v>
      </c>
      <c r="J336" s="101">
        <f t="shared" si="29"/>
        <v>-100</v>
      </c>
    </row>
    <row r="337" spans="1:10" ht="20.100000000000001" hidden="1" customHeight="1">
      <c r="A337" s="180"/>
      <c r="B337" s="102" t="s">
        <v>1217</v>
      </c>
      <c r="C337" s="103" t="s">
        <v>193</v>
      </c>
      <c r="D337" s="104"/>
      <c r="E337" s="104">
        <v>43335000</v>
      </c>
      <c r="F337" s="175">
        <f t="shared" si="30"/>
        <v>-43335000</v>
      </c>
      <c r="G337" s="167">
        <f t="shared" si="30"/>
        <v>86670000</v>
      </c>
      <c r="H337" s="101" t="e">
        <f t="shared" si="29"/>
        <v>#VALUE!</v>
      </c>
      <c r="I337" s="101">
        <f t="shared" si="28"/>
        <v>-130005000</v>
      </c>
      <c r="J337" s="101">
        <f t="shared" si="29"/>
        <v>-300</v>
      </c>
    </row>
    <row r="338" spans="1:10" ht="20.100000000000001" hidden="1" customHeight="1">
      <c r="A338" s="180"/>
      <c r="B338" s="102" t="s">
        <v>1218</v>
      </c>
      <c r="C338" s="103" t="s">
        <v>312</v>
      </c>
      <c r="D338" s="104">
        <v>43335000</v>
      </c>
      <c r="E338" s="104">
        <v>43335000</v>
      </c>
      <c r="F338" s="175">
        <f t="shared" si="30"/>
        <v>0</v>
      </c>
      <c r="G338" s="167">
        <f t="shared" si="30"/>
        <v>43335000</v>
      </c>
      <c r="H338" s="101" t="e">
        <f t="shared" si="29"/>
        <v>#VALUE!</v>
      </c>
      <c r="I338" s="101">
        <f t="shared" si="28"/>
        <v>-43335000</v>
      </c>
      <c r="J338" s="101">
        <f t="shared" si="29"/>
        <v>-100</v>
      </c>
    </row>
    <row r="339" spans="1:10" ht="20.100000000000001" hidden="1" customHeight="1">
      <c r="A339" s="180"/>
      <c r="B339" s="102" t="s">
        <v>1219</v>
      </c>
      <c r="C339" s="103" t="s">
        <v>157</v>
      </c>
      <c r="D339" s="104"/>
      <c r="E339" s="104">
        <v>75380000</v>
      </c>
      <c r="F339" s="175">
        <f t="shared" si="30"/>
        <v>-75380000</v>
      </c>
      <c r="G339" s="167">
        <f t="shared" si="30"/>
        <v>150760000</v>
      </c>
      <c r="H339" s="101" t="e">
        <f t="shared" si="29"/>
        <v>#VALUE!</v>
      </c>
      <c r="I339" s="101">
        <f t="shared" si="28"/>
        <v>-226140000</v>
      </c>
      <c r="J339" s="101">
        <f t="shared" si="29"/>
        <v>-300</v>
      </c>
    </row>
    <row r="340" spans="1:10" ht="20.100000000000001" hidden="1" customHeight="1">
      <c r="A340" s="180"/>
      <c r="B340" s="102" t="s">
        <v>1220</v>
      </c>
      <c r="C340" s="103" t="s">
        <v>159</v>
      </c>
      <c r="D340" s="104">
        <v>6080000</v>
      </c>
      <c r="E340" s="104">
        <v>6080000</v>
      </c>
      <c r="F340" s="175">
        <f t="shared" si="30"/>
        <v>0</v>
      </c>
      <c r="G340" s="167">
        <f t="shared" si="30"/>
        <v>6080000</v>
      </c>
      <c r="H340" s="101" t="e">
        <f t="shared" si="29"/>
        <v>#VALUE!</v>
      </c>
      <c r="I340" s="101">
        <f t="shared" si="28"/>
        <v>-6080000</v>
      </c>
      <c r="J340" s="101">
        <f t="shared" si="29"/>
        <v>-100</v>
      </c>
    </row>
    <row r="341" spans="1:10" ht="20.100000000000001" hidden="1" customHeight="1">
      <c r="A341" s="180"/>
      <c r="B341" s="102" t="s">
        <v>1221</v>
      </c>
      <c r="C341" s="103" t="s">
        <v>207</v>
      </c>
      <c r="D341" s="104">
        <v>69300000</v>
      </c>
      <c r="E341" s="104">
        <v>69300000</v>
      </c>
      <c r="F341" s="175">
        <f t="shared" si="30"/>
        <v>0</v>
      </c>
      <c r="G341" s="167">
        <f t="shared" si="30"/>
        <v>69300000</v>
      </c>
      <c r="H341" s="101" t="e">
        <f t="shared" si="29"/>
        <v>#VALUE!</v>
      </c>
      <c r="I341" s="101">
        <f t="shared" si="28"/>
        <v>-69300000</v>
      </c>
      <c r="J341" s="101">
        <f t="shared" si="29"/>
        <v>-100</v>
      </c>
    </row>
    <row r="342" spans="1:10" ht="20.100000000000001" hidden="1" customHeight="1">
      <c r="A342" s="180"/>
      <c r="B342" s="102" t="s">
        <v>1222</v>
      </c>
      <c r="C342" s="103" t="s">
        <v>402</v>
      </c>
      <c r="D342" s="104"/>
      <c r="E342" s="104">
        <v>7200000</v>
      </c>
      <c r="F342" s="175">
        <f t="shared" si="30"/>
        <v>-7200000</v>
      </c>
      <c r="G342" s="167">
        <f t="shared" si="30"/>
        <v>14400000</v>
      </c>
      <c r="H342" s="101" t="e">
        <f t="shared" si="29"/>
        <v>#VALUE!</v>
      </c>
      <c r="I342" s="101">
        <f t="shared" si="28"/>
        <v>-21600000</v>
      </c>
      <c r="J342" s="101">
        <f t="shared" si="29"/>
        <v>-300</v>
      </c>
    </row>
    <row r="343" spans="1:10" ht="20.100000000000001" hidden="1" customHeight="1">
      <c r="A343" s="180"/>
      <c r="B343" s="102" t="s">
        <v>1223</v>
      </c>
      <c r="C343" s="103" t="s">
        <v>404</v>
      </c>
      <c r="D343" s="104">
        <v>7200000</v>
      </c>
      <c r="E343" s="104">
        <v>7200000</v>
      </c>
      <c r="F343" s="175">
        <f t="shared" si="30"/>
        <v>0</v>
      </c>
      <c r="G343" s="167">
        <f t="shared" si="30"/>
        <v>7200000</v>
      </c>
      <c r="H343" s="101" t="e">
        <f t="shared" si="29"/>
        <v>#VALUE!</v>
      </c>
      <c r="I343" s="101">
        <f t="shared" si="28"/>
        <v>-7200000</v>
      </c>
      <c r="J343" s="101">
        <f t="shared" si="29"/>
        <v>-100</v>
      </c>
    </row>
    <row r="344" spans="1:10" ht="20.100000000000001" customHeight="1">
      <c r="A344" s="176" t="s">
        <v>458</v>
      </c>
      <c r="B344" s="106" t="s">
        <v>1224</v>
      </c>
      <c r="C344" s="107" t="s">
        <v>633</v>
      </c>
      <c r="D344" s="108">
        <f>D345+D360+D379+D396+D414+D431+D449</f>
        <v>347320000</v>
      </c>
      <c r="E344" s="108">
        <f>E345+E360+E379+E396+E414+E431+E449</f>
        <v>188090000</v>
      </c>
      <c r="F344" s="177">
        <f t="shared" si="30"/>
        <v>159230000</v>
      </c>
      <c r="G344" s="168">
        <f>G360+G396+G431+G449</f>
        <v>187864170</v>
      </c>
      <c r="H344" s="110">
        <f>G344/E344*100</f>
        <v>99.879935137434202</v>
      </c>
      <c r="I344" s="108">
        <f>I360+I396+I431+I449</f>
        <v>225830</v>
      </c>
      <c r="J344" s="110">
        <f t="shared" si="29"/>
        <v>0.12006486256579296</v>
      </c>
    </row>
    <row r="345" spans="1:10" ht="20.100000000000001" customHeight="1">
      <c r="A345" s="178">
        <v>22</v>
      </c>
      <c r="B345" s="193" t="s">
        <v>1225</v>
      </c>
      <c r="C345" s="195" t="s">
        <v>635</v>
      </c>
      <c r="D345" s="197">
        <f>SUM(D347:D359)</f>
        <v>51141000</v>
      </c>
      <c r="E345" s="197">
        <f>'rekap REALISASI REKO '!AB444</f>
        <v>0</v>
      </c>
      <c r="F345" s="199">
        <f>D345-E345</f>
        <v>51141000</v>
      </c>
      <c r="G345" s="201">
        <f>'rekap REALISASI REKO '!AQ444</f>
        <v>0</v>
      </c>
      <c r="H345" s="214">
        <v>0</v>
      </c>
      <c r="I345" s="214">
        <f>E345-G345</f>
        <v>0</v>
      </c>
      <c r="J345" s="214">
        <v>0</v>
      </c>
    </row>
    <row r="346" spans="1:10" ht="20.100000000000001" customHeight="1">
      <c r="A346" s="179"/>
      <c r="B346" s="194"/>
      <c r="C346" s="196"/>
      <c r="D346" s="198"/>
      <c r="E346" s="198"/>
      <c r="F346" s="200"/>
      <c r="G346" s="202"/>
      <c r="H346" s="215"/>
      <c r="I346" s="215"/>
      <c r="J346" s="215"/>
    </row>
    <row r="347" spans="1:10" ht="20.100000000000001" hidden="1" customHeight="1">
      <c r="A347" s="180"/>
      <c r="B347" s="102" t="s">
        <v>1226</v>
      </c>
      <c r="C347" s="103" t="s">
        <v>10</v>
      </c>
      <c r="D347" s="104"/>
      <c r="E347" s="104">
        <v>11100000</v>
      </c>
      <c r="F347" s="175">
        <f t="shared" si="30"/>
        <v>-11100000</v>
      </c>
      <c r="G347" s="167">
        <f t="shared" si="30"/>
        <v>22200000</v>
      </c>
      <c r="H347" s="101" t="e">
        <f t="shared" si="29"/>
        <v>#VALUE!</v>
      </c>
      <c r="I347" s="101">
        <f t="shared" ref="I347:I359" si="31">F347-G347</f>
        <v>-33300000</v>
      </c>
      <c r="J347" s="101">
        <f t="shared" si="29"/>
        <v>-300</v>
      </c>
    </row>
    <row r="348" spans="1:10" ht="20.100000000000001" hidden="1" customHeight="1">
      <c r="A348" s="180"/>
      <c r="B348" s="102" t="s">
        <v>1227</v>
      </c>
      <c r="C348" s="103" t="s">
        <v>177</v>
      </c>
      <c r="D348" s="104"/>
      <c r="E348" s="104">
        <v>11100000</v>
      </c>
      <c r="F348" s="175">
        <f t="shared" si="30"/>
        <v>-11100000</v>
      </c>
      <c r="G348" s="167">
        <f t="shared" si="30"/>
        <v>22200000</v>
      </c>
      <c r="H348" s="101" t="e">
        <f t="shared" si="29"/>
        <v>#VALUE!</v>
      </c>
      <c r="I348" s="101">
        <f t="shared" si="31"/>
        <v>-33300000</v>
      </c>
      <c r="J348" s="101">
        <f t="shared" si="29"/>
        <v>-300</v>
      </c>
    </row>
    <row r="349" spans="1:10" ht="20.100000000000001" hidden="1" customHeight="1">
      <c r="A349" s="180"/>
      <c r="B349" s="102" t="s">
        <v>1228</v>
      </c>
      <c r="C349" s="103" t="s">
        <v>283</v>
      </c>
      <c r="D349" s="104">
        <v>11100000</v>
      </c>
      <c r="E349" s="104">
        <v>11100000</v>
      </c>
      <c r="F349" s="175">
        <f t="shared" si="30"/>
        <v>0</v>
      </c>
      <c r="G349" s="167">
        <f t="shared" si="30"/>
        <v>11100000</v>
      </c>
      <c r="H349" s="101" t="e">
        <f t="shared" si="29"/>
        <v>#VALUE!</v>
      </c>
      <c r="I349" s="101">
        <f t="shared" si="31"/>
        <v>-11100000</v>
      </c>
      <c r="J349" s="101">
        <f t="shared" si="29"/>
        <v>-100</v>
      </c>
    </row>
    <row r="350" spans="1:10" ht="20.100000000000001" hidden="1" customHeight="1">
      <c r="A350" s="180"/>
      <c r="B350" s="102" t="s">
        <v>1229</v>
      </c>
      <c r="C350" s="103" t="s">
        <v>143</v>
      </c>
      <c r="D350" s="104"/>
      <c r="E350" s="104">
        <v>40041000</v>
      </c>
      <c r="F350" s="175">
        <f t="shared" si="30"/>
        <v>-40041000</v>
      </c>
      <c r="G350" s="167">
        <f t="shared" si="30"/>
        <v>80082000</v>
      </c>
      <c r="H350" s="101" t="e">
        <f t="shared" si="29"/>
        <v>#VALUE!</v>
      </c>
      <c r="I350" s="101">
        <f t="shared" si="31"/>
        <v>-120123000</v>
      </c>
      <c r="J350" s="101">
        <f t="shared" si="29"/>
        <v>-300</v>
      </c>
    </row>
    <row r="351" spans="1:10" ht="20.100000000000001" hidden="1" customHeight="1">
      <c r="A351" s="180"/>
      <c r="B351" s="102" t="s">
        <v>1230</v>
      </c>
      <c r="C351" s="103" t="s">
        <v>145</v>
      </c>
      <c r="D351" s="104"/>
      <c r="E351" s="104">
        <v>1038000</v>
      </c>
      <c r="F351" s="175">
        <f t="shared" si="30"/>
        <v>-1038000</v>
      </c>
      <c r="G351" s="167">
        <f t="shared" si="30"/>
        <v>2076000</v>
      </c>
      <c r="H351" s="101" t="e">
        <f t="shared" si="29"/>
        <v>#VALUE!</v>
      </c>
      <c r="I351" s="101">
        <f t="shared" si="31"/>
        <v>-3114000</v>
      </c>
      <c r="J351" s="101">
        <f t="shared" si="29"/>
        <v>-300</v>
      </c>
    </row>
    <row r="352" spans="1:10" ht="20.100000000000001" hidden="1" customHeight="1">
      <c r="A352" s="180"/>
      <c r="B352" s="102" t="s">
        <v>1231</v>
      </c>
      <c r="C352" s="103" t="s">
        <v>147</v>
      </c>
      <c r="D352" s="104">
        <v>1038000</v>
      </c>
      <c r="E352" s="104">
        <v>1038000</v>
      </c>
      <c r="F352" s="175">
        <f t="shared" si="30"/>
        <v>0</v>
      </c>
      <c r="G352" s="167">
        <f t="shared" si="30"/>
        <v>1038000</v>
      </c>
      <c r="H352" s="101" t="e">
        <f t="shared" si="29"/>
        <v>#VALUE!</v>
      </c>
      <c r="I352" s="101">
        <f t="shared" si="31"/>
        <v>-1038000</v>
      </c>
      <c r="J352" s="101">
        <f t="shared" si="29"/>
        <v>-100</v>
      </c>
    </row>
    <row r="353" spans="1:10" ht="20.100000000000001" hidden="1" customHeight="1">
      <c r="A353" s="180"/>
      <c r="B353" s="102" t="s">
        <v>1232</v>
      </c>
      <c r="C353" s="103" t="s">
        <v>151</v>
      </c>
      <c r="D353" s="104"/>
      <c r="E353" s="104">
        <v>980000</v>
      </c>
      <c r="F353" s="175">
        <f t="shared" si="30"/>
        <v>-980000</v>
      </c>
      <c r="G353" s="167">
        <f t="shared" si="30"/>
        <v>1960000</v>
      </c>
      <c r="H353" s="101" t="e">
        <f t="shared" si="29"/>
        <v>#VALUE!</v>
      </c>
      <c r="I353" s="101">
        <f t="shared" si="31"/>
        <v>-2940000</v>
      </c>
      <c r="J353" s="101">
        <f t="shared" si="29"/>
        <v>-300</v>
      </c>
    </row>
    <row r="354" spans="1:10" ht="20.100000000000001" hidden="1" customHeight="1">
      <c r="A354" s="180"/>
      <c r="B354" s="102" t="s">
        <v>1233</v>
      </c>
      <c r="C354" s="103" t="s">
        <v>155</v>
      </c>
      <c r="D354" s="104">
        <v>980000</v>
      </c>
      <c r="E354" s="104">
        <v>980000</v>
      </c>
      <c r="F354" s="175">
        <f t="shared" si="30"/>
        <v>0</v>
      </c>
      <c r="G354" s="167">
        <f t="shared" si="30"/>
        <v>980000</v>
      </c>
      <c r="H354" s="101" t="e">
        <f t="shared" si="29"/>
        <v>#VALUE!</v>
      </c>
      <c r="I354" s="101">
        <f t="shared" si="31"/>
        <v>-980000</v>
      </c>
      <c r="J354" s="101">
        <f t="shared" si="29"/>
        <v>-100</v>
      </c>
    </row>
    <row r="355" spans="1:10" ht="20.100000000000001" hidden="1" customHeight="1">
      <c r="A355" s="180"/>
      <c r="B355" s="102" t="s">
        <v>1234</v>
      </c>
      <c r="C355" s="103" t="s">
        <v>193</v>
      </c>
      <c r="D355" s="104"/>
      <c r="E355" s="104">
        <v>12353000</v>
      </c>
      <c r="F355" s="175">
        <f t="shared" si="30"/>
        <v>-12353000</v>
      </c>
      <c r="G355" s="167">
        <f t="shared" si="30"/>
        <v>24706000</v>
      </c>
      <c r="H355" s="101" t="e">
        <f t="shared" si="29"/>
        <v>#VALUE!</v>
      </c>
      <c r="I355" s="101">
        <f t="shared" si="31"/>
        <v>-37059000</v>
      </c>
      <c r="J355" s="101">
        <f t="shared" si="29"/>
        <v>-300</v>
      </c>
    </row>
    <row r="356" spans="1:10" ht="20.100000000000001" hidden="1" customHeight="1">
      <c r="A356" s="180"/>
      <c r="B356" s="102" t="s">
        <v>1235</v>
      </c>
      <c r="C356" s="103" t="s">
        <v>195</v>
      </c>
      <c r="D356" s="104">
        <v>12353000</v>
      </c>
      <c r="E356" s="104">
        <v>12353000</v>
      </c>
      <c r="F356" s="175">
        <f t="shared" si="30"/>
        <v>0</v>
      </c>
      <c r="G356" s="167">
        <f t="shared" si="30"/>
        <v>12353000</v>
      </c>
      <c r="H356" s="101" t="e">
        <f t="shared" si="29"/>
        <v>#VALUE!</v>
      </c>
      <c r="I356" s="101">
        <f t="shared" si="31"/>
        <v>-12353000</v>
      </c>
      <c r="J356" s="101">
        <f t="shared" si="29"/>
        <v>-100</v>
      </c>
    </row>
    <row r="357" spans="1:10" ht="20.100000000000001" hidden="1" customHeight="1">
      <c r="A357" s="180"/>
      <c r="B357" s="102" t="s">
        <v>1236</v>
      </c>
      <c r="C357" s="103" t="s">
        <v>157</v>
      </c>
      <c r="D357" s="104"/>
      <c r="E357" s="104">
        <v>25670000</v>
      </c>
      <c r="F357" s="175">
        <f t="shared" si="30"/>
        <v>-25670000</v>
      </c>
      <c r="G357" s="167">
        <f t="shared" si="30"/>
        <v>51340000</v>
      </c>
      <c r="H357" s="101" t="e">
        <f t="shared" si="29"/>
        <v>#VALUE!</v>
      </c>
      <c r="I357" s="101">
        <f t="shared" si="31"/>
        <v>-77010000</v>
      </c>
      <c r="J357" s="101">
        <f t="shared" si="29"/>
        <v>-300</v>
      </c>
    </row>
    <row r="358" spans="1:10" ht="20.100000000000001" hidden="1" customHeight="1">
      <c r="A358" s="180"/>
      <c r="B358" s="102" t="s">
        <v>1237</v>
      </c>
      <c r="C358" s="103" t="s">
        <v>159</v>
      </c>
      <c r="D358" s="104">
        <v>18970000</v>
      </c>
      <c r="E358" s="104">
        <v>18970000</v>
      </c>
      <c r="F358" s="175">
        <f t="shared" si="30"/>
        <v>0</v>
      </c>
      <c r="G358" s="167">
        <f t="shared" si="30"/>
        <v>18970000</v>
      </c>
      <c r="H358" s="101" t="e">
        <f t="shared" si="29"/>
        <v>#VALUE!</v>
      </c>
      <c r="I358" s="101">
        <f t="shared" si="31"/>
        <v>-18970000</v>
      </c>
      <c r="J358" s="101">
        <f t="shared" si="29"/>
        <v>-100</v>
      </c>
    </row>
    <row r="359" spans="1:10" ht="20.100000000000001" hidden="1" customHeight="1">
      <c r="A359" s="180"/>
      <c r="B359" s="102" t="s">
        <v>1238</v>
      </c>
      <c r="C359" s="103" t="s">
        <v>207</v>
      </c>
      <c r="D359" s="104">
        <v>6700000</v>
      </c>
      <c r="E359" s="104">
        <v>6700000</v>
      </c>
      <c r="F359" s="175">
        <f t="shared" si="30"/>
        <v>0</v>
      </c>
      <c r="G359" s="167">
        <f t="shared" si="30"/>
        <v>6700000</v>
      </c>
      <c r="H359" s="101" t="e">
        <f t="shared" si="29"/>
        <v>#VALUE!</v>
      </c>
      <c r="I359" s="101">
        <f t="shared" si="31"/>
        <v>-6700000</v>
      </c>
      <c r="J359" s="101">
        <f t="shared" si="29"/>
        <v>-100</v>
      </c>
    </row>
    <row r="360" spans="1:10" ht="23.25" customHeight="1">
      <c r="A360" s="178">
        <v>23</v>
      </c>
      <c r="B360" s="193" t="s">
        <v>1239</v>
      </c>
      <c r="C360" s="195" t="s">
        <v>649</v>
      </c>
      <c r="D360" s="197">
        <f>SUM(D362:D378)</f>
        <v>70289000</v>
      </c>
      <c r="E360" s="197">
        <f>'rekap REALISASI REKO '!AB457</f>
        <v>50000000</v>
      </c>
      <c r="F360" s="199">
        <f>D360-E360</f>
        <v>20289000</v>
      </c>
      <c r="G360" s="201">
        <f>'rekap REALISASI REKO '!AQ457</f>
        <v>49849640</v>
      </c>
      <c r="H360" s="214">
        <f>G360/E360*100</f>
        <v>99.699280000000002</v>
      </c>
      <c r="I360" s="214">
        <f>E360-G360</f>
        <v>150360</v>
      </c>
      <c r="J360" s="214">
        <f>I360/E360*100</f>
        <v>0.30071999999999999</v>
      </c>
    </row>
    <row r="361" spans="1:10" ht="6.75" hidden="1" customHeight="1">
      <c r="A361" s="179"/>
      <c r="B361" s="194"/>
      <c r="C361" s="196"/>
      <c r="D361" s="198"/>
      <c r="E361" s="198"/>
      <c r="F361" s="200"/>
      <c r="G361" s="202"/>
      <c r="H361" s="215"/>
      <c r="I361" s="215"/>
      <c r="J361" s="215"/>
    </row>
    <row r="362" spans="1:10" ht="24.95" hidden="1" customHeight="1">
      <c r="A362" s="180"/>
      <c r="B362" s="102" t="s">
        <v>1240</v>
      </c>
      <c r="C362" s="103" t="s">
        <v>10</v>
      </c>
      <c r="D362" s="104"/>
      <c r="E362" s="104">
        <v>27400000</v>
      </c>
      <c r="F362" s="175">
        <f t="shared" si="30"/>
        <v>-27400000</v>
      </c>
      <c r="G362" s="167">
        <f t="shared" si="30"/>
        <v>54800000</v>
      </c>
      <c r="H362" s="101" t="e">
        <f t="shared" si="29"/>
        <v>#VALUE!</v>
      </c>
      <c r="I362" s="101">
        <f t="shared" ref="I362:I378" si="32">F362-G362</f>
        <v>-82200000</v>
      </c>
      <c r="J362" s="101">
        <f t="shared" si="29"/>
        <v>-300</v>
      </c>
    </row>
    <row r="363" spans="1:10" ht="24.95" hidden="1" customHeight="1">
      <c r="A363" s="180"/>
      <c r="B363" s="102" t="s">
        <v>1241</v>
      </c>
      <c r="C363" s="103" t="s">
        <v>177</v>
      </c>
      <c r="D363" s="104"/>
      <c r="E363" s="104">
        <v>12500000</v>
      </c>
      <c r="F363" s="175">
        <f t="shared" si="30"/>
        <v>-12500000</v>
      </c>
      <c r="G363" s="167">
        <f t="shared" si="30"/>
        <v>25000000</v>
      </c>
      <c r="H363" s="101" t="e">
        <f t="shared" si="29"/>
        <v>#VALUE!</v>
      </c>
      <c r="I363" s="101">
        <f t="shared" si="32"/>
        <v>-37500000</v>
      </c>
      <c r="J363" s="101">
        <f t="shared" si="29"/>
        <v>-300</v>
      </c>
    </row>
    <row r="364" spans="1:10" ht="24.95" hidden="1" customHeight="1">
      <c r="A364" s="180"/>
      <c r="B364" s="102" t="s">
        <v>1242</v>
      </c>
      <c r="C364" s="103" t="s">
        <v>283</v>
      </c>
      <c r="D364" s="104">
        <v>12500000</v>
      </c>
      <c r="E364" s="104">
        <v>12500000</v>
      </c>
      <c r="F364" s="175">
        <f t="shared" si="30"/>
        <v>0</v>
      </c>
      <c r="G364" s="167">
        <f t="shared" si="30"/>
        <v>12500000</v>
      </c>
      <c r="H364" s="101" t="e">
        <f t="shared" si="29"/>
        <v>#VALUE!</v>
      </c>
      <c r="I364" s="101">
        <f t="shared" si="32"/>
        <v>-12500000</v>
      </c>
      <c r="J364" s="101">
        <f t="shared" si="29"/>
        <v>-100</v>
      </c>
    </row>
    <row r="365" spans="1:10" ht="24.95" hidden="1" customHeight="1">
      <c r="A365" s="180"/>
      <c r="B365" s="102" t="s">
        <v>1243</v>
      </c>
      <c r="C365" s="103" t="s">
        <v>341</v>
      </c>
      <c r="D365" s="104"/>
      <c r="E365" s="104">
        <v>14900000</v>
      </c>
      <c r="F365" s="175">
        <f t="shared" si="30"/>
        <v>-14900000</v>
      </c>
      <c r="G365" s="167">
        <f t="shared" si="30"/>
        <v>29800000</v>
      </c>
      <c r="H365" s="101" t="e">
        <f t="shared" si="29"/>
        <v>#VALUE!</v>
      </c>
      <c r="I365" s="101">
        <f t="shared" si="32"/>
        <v>-44700000</v>
      </c>
      <c r="J365" s="101">
        <f t="shared" si="29"/>
        <v>-300</v>
      </c>
    </row>
    <row r="366" spans="1:10" ht="24.95" hidden="1" customHeight="1">
      <c r="A366" s="180"/>
      <c r="B366" s="102" t="s">
        <v>1244</v>
      </c>
      <c r="C366" s="103" t="s">
        <v>283</v>
      </c>
      <c r="D366" s="104">
        <v>14900000</v>
      </c>
      <c r="E366" s="104">
        <v>14900000</v>
      </c>
      <c r="F366" s="175">
        <f t="shared" si="30"/>
        <v>0</v>
      </c>
      <c r="G366" s="167">
        <f t="shared" si="30"/>
        <v>14900000</v>
      </c>
      <c r="H366" s="101" t="e">
        <f t="shared" si="29"/>
        <v>#VALUE!</v>
      </c>
      <c r="I366" s="101">
        <f t="shared" si="32"/>
        <v>-14900000</v>
      </c>
      <c r="J366" s="101">
        <f t="shared" si="29"/>
        <v>-100</v>
      </c>
    </row>
    <row r="367" spans="1:10" ht="24.95" hidden="1" customHeight="1">
      <c r="A367" s="180"/>
      <c r="B367" s="102" t="s">
        <v>1245</v>
      </c>
      <c r="C367" s="103" t="s">
        <v>143</v>
      </c>
      <c r="D367" s="104"/>
      <c r="E367" s="104">
        <v>42889000</v>
      </c>
      <c r="F367" s="175">
        <f t="shared" si="30"/>
        <v>-42889000</v>
      </c>
      <c r="G367" s="167">
        <f t="shared" si="30"/>
        <v>85778000</v>
      </c>
      <c r="H367" s="101" t="e">
        <f t="shared" si="29"/>
        <v>#VALUE!</v>
      </c>
      <c r="I367" s="101">
        <f t="shared" si="32"/>
        <v>-128667000</v>
      </c>
      <c r="J367" s="101">
        <f t="shared" si="29"/>
        <v>-300</v>
      </c>
    </row>
    <row r="368" spans="1:10" ht="24.95" hidden="1" customHeight="1">
      <c r="A368" s="180"/>
      <c r="B368" s="102" t="s">
        <v>1246</v>
      </c>
      <c r="C368" s="103" t="s">
        <v>145</v>
      </c>
      <c r="D368" s="104"/>
      <c r="E368" s="104">
        <v>961000</v>
      </c>
      <c r="F368" s="175">
        <f t="shared" si="30"/>
        <v>-961000</v>
      </c>
      <c r="G368" s="167">
        <f t="shared" si="30"/>
        <v>1922000</v>
      </c>
      <c r="H368" s="101" t="e">
        <f t="shared" si="29"/>
        <v>#VALUE!</v>
      </c>
      <c r="I368" s="101">
        <f t="shared" si="32"/>
        <v>-2883000</v>
      </c>
      <c r="J368" s="101">
        <f t="shared" si="29"/>
        <v>-300</v>
      </c>
    </row>
    <row r="369" spans="1:10" ht="24.95" hidden="1" customHeight="1">
      <c r="A369" s="180"/>
      <c r="B369" s="102" t="s">
        <v>1247</v>
      </c>
      <c r="C369" s="103" t="s">
        <v>147</v>
      </c>
      <c r="D369" s="104">
        <v>961000</v>
      </c>
      <c r="E369" s="104">
        <v>961000</v>
      </c>
      <c r="F369" s="175">
        <f t="shared" si="30"/>
        <v>0</v>
      </c>
      <c r="G369" s="167">
        <f t="shared" si="30"/>
        <v>961000</v>
      </c>
      <c r="H369" s="101" t="e">
        <f t="shared" si="29"/>
        <v>#VALUE!</v>
      </c>
      <c r="I369" s="101">
        <f t="shared" si="32"/>
        <v>-961000</v>
      </c>
      <c r="J369" s="101">
        <f t="shared" si="29"/>
        <v>-100</v>
      </c>
    </row>
    <row r="370" spans="1:10" ht="24.95" hidden="1" customHeight="1">
      <c r="A370" s="180"/>
      <c r="B370" s="102" t="s">
        <v>1248</v>
      </c>
      <c r="C370" s="103" t="s">
        <v>151</v>
      </c>
      <c r="D370" s="104"/>
      <c r="E370" s="104">
        <v>1403000</v>
      </c>
      <c r="F370" s="175">
        <f t="shared" si="30"/>
        <v>-1403000</v>
      </c>
      <c r="G370" s="167">
        <f t="shared" si="30"/>
        <v>2806000</v>
      </c>
      <c r="H370" s="101" t="e">
        <f t="shared" si="29"/>
        <v>#VALUE!</v>
      </c>
      <c r="I370" s="101">
        <f t="shared" si="32"/>
        <v>-4209000</v>
      </c>
      <c r="J370" s="101">
        <f t="shared" si="29"/>
        <v>-300</v>
      </c>
    </row>
    <row r="371" spans="1:10" ht="24.95" hidden="1" customHeight="1">
      <c r="A371" s="180"/>
      <c r="B371" s="102" t="s">
        <v>1249</v>
      </c>
      <c r="C371" s="103" t="s">
        <v>155</v>
      </c>
      <c r="D371" s="104">
        <v>1403000</v>
      </c>
      <c r="E371" s="104">
        <v>1403000</v>
      </c>
      <c r="F371" s="175">
        <f t="shared" si="30"/>
        <v>0</v>
      </c>
      <c r="G371" s="167">
        <f t="shared" si="30"/>
        <v>1403000</v>
      </c>
      <c r="H371" s="101" t="e">
        <f t="shared" si="29"/>
        <v>#VALUE!</v>
      </c>
      <c r="I371" s="101">
        <f t="shared" si="32"/>
        <v>-1403000</v>
      </c>
      <c r="J371" s="101">
        <f t="shared" si="29"/>
        <v>-100</v>
      </c>
    </row>
    <row r="372" spans="1:10" ht="24.95" hidden="1" customHeight="1">
      <c r="A372" s="180"/>
      <c r="B372" s="102" t="s">
        <v>1250</v>
      </c>
      <c r="C372" s="103" t="s">
        <v>193</v>
      </c>
      <c r="D372" s="104"/>
      <c r="E372" s="104">
        <v>6885000</v>
      </c>
      <c r="F372" s="175">
        <f t="shared" si="30"/>
        <v>-6885000</v>
      </c>
      <c r="G372" s="167">
        <f t="shared" si="30"/>
        <v>13770000</v>
      </c>
      <c r="H372" s="101" t="e">
        <f t="shared" si="29"/>
        <v>#VALUE!</v>
      </c>
      <c r="I372" s="101">
        <f t="shared" si="32"/>
        <v>-20655000</v>
      </c>
      <c r="J372" s="101">
        <f t="shared" si="29"/>
        <v>-300</v>
      </c>
    </row>
    <row r="373" spans="1:10" ht="24.95" hidden="1" customHeight="1">
      <c r="A373" s="180"/>
      <c r="B373" s="102" t="s">
        <v>1251</v>
      </c>
      <c r="C373" s="103" t="s">
        <v>195</v>
      </c>
      <c r="D373" s="104">
        <v>6885000</v>
      </c>
      <c r="E373" s="104">
        <v>6885000</v>
      </c>
      <c r="F373" s="175">
        <f t="shared" si="30"/>
        <v>0</v>
      </c>
      <c r="G373" s="167">
        <f t="shared" si="30"/>
        <v>6885000</v>
      </c>
      <c r="H373" s="101" t="e">
        <f t="shared" si="29"/>
        <v>#VALUE!</v>
      </c>
      <c r="I373" s="101">
        <f t="shared" si="32"/>
        <v>-6885000</v>
      </c>
      <c r="J373" s="101">
        <f t="shared" si="29"/>
        <v>-100</v>
      </c>
    </row>
    <row r="374" spans="1:10" ht="24.95" hidden="1" customHeight="1">
      <c r="A374" s="180"/>
      <c r="B374" s="102" t="s">
        <v>1252</v>
      </c>
      <c r="C374" s="103" t="s">
        <v>1253</v>
      </c>
      <c r="D374" s="104"/>
      <c r="E374" s="104">
        <v>25000000</v>
      </c>
      <c r="F374" s="175">
        <f t="shared" si="30"/>
        <v>-25000000</v>
      </c>
      <c r="G374" s="167">
        <f t="shared" si="30"/>
        <v>50000000</v>
      </c>
      <c r="H374" s="101" t="e">
        <f t="shared" si="29"/>
        <v>#VALUE!</v>
      </c>
      <c r="I374" s="101">
        <f t="shared" si="32"/>
        <v>-75000000</v>
      </c>
      <c r="J374" s="101">
        <f t="shared" si="29"/>
        <v>-300</v>
      </c>
    </row>
    <row r="375" spans="1:10" ht="24.95" hidden="1" customHeight="1">
      <c r="A375" s="180"/>
      <c r="B375" s="102" t="s">
        <v>1254</v>
      </c>
      <c r="C375" s="103" t="s">
        <v>1255</v>
      </c>
      <c r="D375" s="104">
        <v>25000000</v>
      </c>
      <c r="E375" s="104">
        <v>25000000</v>
      </c>
      <c r="F375" s="175">
        <f t="shared" si="30"/>
        <v>0</v>
      </c>
      <c r="G375" s="167">
        <f t="shared" si="30"/>
        <v>25000000</v>
      </c>
      <c r="H375" s="101" t="e">
        <f t="shared" si="29"/>
        <v>#VALUE!</v>
      </c>
      <c r="I375" s="101">
        <f t="shared" si="32"/>
        <v>-25000000</v>
      </c>
      <c r="J375" s="101">
        <f t="shared" si="29"/>
        <v>-100</v>
      </c>
    </row>
    <row r="376" spans="1:10" ht="24.95" hidden="1" customHeight="1">
      <c r="A376" s="180"/>
      <c r="B376" s="102" t="s">
        <v>1256</v>
      </c>
      <c r="C376" s="103" t="s">
        <v>157</v>
      </c>
      <c r="D376" s="104"/>
      <c r="E376" s="104">
        <v>8640000</v>
      </c>
      <c r="F376" s="175">
        <f t="shared" si="30"/>
        <v>-8640000</v>
      </c>
      <c r="G376" s="167">
        <f t="shared" si="30"/>
        <v>17280000</v>
      </c>
      <c r="H376" s="101" t="e">
        <f t="shared" si="29"/>
        <v>#VALUE!</v>
      </c>
      <c r="I376" s="101">
        <f t="shared" si="32"/>
        <v>-25920000</v>
      </c>
      <c r="J376" s="101">
        <f t="shared" si="29"/>
        <v>-300</v>
      </c>
    </row>
    <row r="377" spans="1:10" ht="24.95" hidden="1" customHeight="1">
      <c r="A377" s="180"/>
      <c r="B377" s="102" t="s">
        <v>1257</v>
      </c>
      <c r="C377" s="103" t="s">
        <v>159</v>
      </c>
      <c r="D377" s="104">
        <v>3440000</v>
      </c>
      <c r="E377" s="104">
        <v>3440000</v>
      </c>
      <c r="F377" s="175">
        <f t="shared" si="30"/>
        <v>0</v>
      </c>
      <c r="G377" s="167">
        <f t="shared" si="30"/>
        <v>3440000</v>
      </c>
      <c r="H377" s="101" t="e">
        <f t="shared" si="29"/>
        <v>#VALUE!</v>
      </c>
      <c r="I377" s="101">
        <f t="shared" si="32"/>
        <v>-3440000</v>
      </c>
      <c r="J377" s="101">
        <f t="shared" si="29"/>
        <v>-100</v>
      </c>
    </row>
    <row r="378" spans="1:10" ht="24.95" hidden="1" customHeight="1">
      <c r="A378" s="180"/>
      <c r="B378" s="102" t="s">
        <v>1258</v>
      </c>
      <c r="C378" s="103" t="s">
        <v>207</v>
      </c>
      <c r="D378" s="104">
        <v>5200000</v>
      </c>
      <c r="E378" s="104">
        <v>5200000</v>
      </c>
      <c r="F378" s="175">
        <f t="shared" si="30"/>
        <v>0</v>
      </c>
      <c r="G378" s="167">
        <f t="shared" si="30"/>
        <v>5200000</v>
      </c>
      <c r="H378" s="101" t="e">
        <f t="shared" si="29"/>
        <v>#VALUE!</v>
      </c>
      <c r="I378" s="101">
        <f t="shared" si="32"/>
        <v>-5200000</v>
      </c>
      <c r="J378" s="101">
        <f t="shared" si="29"/>
        <v>-100</v>
      </c>
    </row>
    <row r="379" spans="1:10" ht="24.95" customHeight="1">
      <c r="A379" s="178">
        <v>24</v>
      </c>
      <c r="B379" s="193" t="s">
        <v>1259</v>
      </c>
      <c r="C379" s="195" t="s">
        <v>1260</v>
      </c>
      <c r="D379" s="197">
        <f>SUM(D382:D395)</f>
        <v>46624000</v>
      </c>
      <c r="E379" s="197">
        <v>0</v>
      </c>
      <c r="F379" s="199">
        <f>D379-E379</f>
        <v>46624000</v>
      </c>
      <c r="G379" s="201">
        <f ca="1">'29 DAN 18 TOK'!G396:'29 DAN 18 TOK'!G360:G361</f>
        <v>0</v>
      </c>
      <c r="H379" s="214">
        <f ca="1">G379/E379*100</f>
        <v>0</v>
      </c>
      <c r="I379" s="214">
        <v>0</v>
      </c>
      <c r="J379" s="214">
        <v>0</v>
      </c>
    </row>
    <row r="380" spans="1:10" ht="0.75" customHeight="1">
      <c r="A380" s="179"/>
      <c r="B380" s="194"/>
      <c r="C380" s="196"/>
      <c r="D380" s="198"/>
      <c r="E380" s="198"/>
      <c r="F380" s="200"/>
      <c r="G380" s="202"/>
      <c r="H380" s="215"/>
      <c r="I380" s="215"/>
      <c r="J380" s="215"/>
    </row>
    <row r="381" spans="1:10" ht="24.95" hidden="1" customHeight="1">
      <c r="A381" s="180"/>
      <c r="B381" s="102" t="s">
        <v>1261</v>
      </c>
      <c r="C381" s="103" t="s">
        <v>10</v>
      </c>
      <c r="D381" s="104"/>
      <c r="E381" s="104">
        <v>30375000</v>
      </c>
      <c r="F381" s="175">
        <f t="shared" si="30"/>
        <v>-30375000</v>
      </c>
      <c r="G381" s="167">
        <f t="shared" si="30"/>
        <v>60750000</v>
      </c>
      <c r="H381" s="101" t="e">
        <f t="shared" si="29"/>
        <v>#VALUE!</v>
      </c>
      <c r="I381" s="101">
        <f t="shared" ref="I381:I395" si="33">F381-G381</f>
        <v>-91125000</v>
      </c>
      <c r="J381" s="101">
        <f t="shared" si="29"/>
        <v>-300</v>
      </c>
    </row>
    <row r="382" spans="1:10" ht="24.95" hidden="1" customHeight="1">
      <c r="A382" s="180"/>
      <c r="B382" s="102" t="s">
        <v>1262</v>
      </c>
      <c r="C382" s="103" t="s">
        <v>177</v>
      </c>
      <c r="D382" s="104"/>
      <c r="E382" s="104">
        <v>15625000</v>
      </c>
      <c r="F382" s="175">
        <f t="shared" si="30"/>
        <v>-15625000</v>
      </c>
      <c r="G382" s="167">
        <f t="shared" si="30"/>
        <v>31250000</v>
      </c>
      <c r="H382" s="101" t="e">
        <f t="shared" si="29"/>
        <v>#VALUE!</v>
      </c>
      <c r="I382" s="101">
        <f t="shared" si="33"/>
        <v>-46875000</v>
      </c>
      <c r="J382" s="101">
        <f t="shared" si="29"/>
        <v>-300</v>
      </c>
    </row>
    <row r="383" spans="1:10" ht="24.95" hidden="1" customHeight="1">
      <c r="A383" s="180"/>
      <c r="B383" s="102" t="s">
        <v>1263</v>
      </c>
      <c r="C383" s="103" t="s">
        <v>283</v>
      </c>
      <c r="D383" s="104">
        <v>15625000</v>
      </c>
      <c r="E383" s="104">
        <v>15625000</v>
      </c>
      <c r="F383" s="175">
        <f t="shared" si="30"/>
        <v>0</v>
      </c>
      <c r="G383" s="167">
        <f t="shared" si="30"/>
        <v>15625000</v>
      </c>
      <c r="H383" s="101" t="e">
        <f t="shared" si="29"/>
        <v>#VALUE!</v>
      </c>
      <c r="I383" s="101">
        <f t="shared" si="33"/>
        <v>-15625000</v>
      </c>
      <c r="J383" s="101">
        <f t="shared" si="29"/>
        <v>-100</v>
      </c>
    </row>
    <row r="384" spans="1:10" ht="24.95" hidden="1" customHeight="1">
      <c r="A384" s="180"/>
      <c r="B384" s="102" t="s">
        <v>1264</v>
      </c>
      <c r="C384" s="103" t="s">
        <v>341</v>
      </c>
      <c r="D384" s="104"/>
      <c r="E384" s="104">
        <v>14750000</v>
      </c>
      <c r="F384" s="175">
        <f t="shared" si="30"/>
        <v>-14750000</v>
      </c>
      <c r="G384" s="167">
        <f t="shared" si="30"/>
        <v>29500000</v>
      </c>
      <c r="H384" s="101" t="e">
        <f t="shared" si="29"/>
        <v>#VALUE!</v>
      </c>
      <c r="I384" s="101">
        <f t="shared" si="33"/>
        <v>-44250000</v>
      </c>
      <c r="J384" s="101">
        <f t="shared" si="29"/>
        <v>-300</v>
      </c>
    </row>
    <row r="385" spans="1:10" ht="24.95" hidden="1" customHeight="1">
      <c r="A385" s="180"/>
      <c r="B385" s="102" t="s">
        <v>1265</v>
      </c>
      <c r="C385" s="103" t="s">
        <v>283</v>
      </c>
      <c r="D385" s="104">
        <v>14750000</v>
      </c>
      <c r="E385" s="104">
        <v>14750000</v>
      </c>
      <c r="F385" s="175">
        <f t="shared" si="30"/>
        <v>0</v>
      </c>
      <c r="G385" s="167">
        <f t="shared" si="30"/>
        <v>14750000</v>
      </c>
      <c r="H385" s="101" t="e">
        <f t="shared" si="29"/>
        <v>#VALUE!</v>
      </c>
      <c r="I385" s="101">
        <f t="shared" si="33"/>
        <v>-14750000</v>
      </c>
      <c r="J385" s="101">
        <f t="shared" si="29"/>
        <v>-100</v>
      </c>
    </row>
    <row r="386" spans="1:10" ht="24.95" hidden="1" customHeight="1">
      <c r="A386" s="180"/>
      <c r="B386" s="102" t="s">
        <v>1266</v>
      </c>
      <c r="C386" s="103" t="s">
        <v>143</v>
      </c>
      <c r="D386" s="104"/>
      <c r="E386" s="104">
        <v>16249000</v>
      </c>
      <c r="F386" s="175">
        <f t="shared" si="30"/>
        <v>-16249000</v>
      </c>
      <c r="G386" s="167">
        <f t="shared" si="30"/>
        <v>32498000</v>
      </c>
      <c r="H386" s="101" t="e">
        <f t="shared" si="29"/>
        <v>#VALUE!</v>
      </c>
      <c r="I386" s="101">
        <f t="shared" si="33"/>
        <v>-48747000</v>
      </c>
      <c r="J386" s="101">
        <f t="shared" si="29"/>
        <v>-300</v>
      </c>
    </row>
    <row r="387" spans="1:10" ht="24.95" hidden="1" customHeight="1">
      <c r="A387" s="180"/>
      <c r="B387" s="102" t="s">
        <v>1267</v>
      </c>
      <c r="C387" s="103" t="s">
        <v>145</v>
      </c>
      <c r="D387" s="104"/>
      <c r="E387" s="104">
        <v>829000</v>
      </c>
      <c r="F387" s="175">
        <f t="shared" si="30"/>
        <v>-829000</v>
      </c>
      <c r="G387" s="167">
        <f t="shared" si="30"/>
        <v>1658000</v>
      </c>
      <c r="H387" s="101" t="e">
        <f t="shared" si="29"/>
        <v>#VALUE!</v>
      </c>
      <c r="I387" s="101">
        <f t="shared" si="33"/>
        <v>-2487000</v>
      </c>
      <c r="J387" s="101">
        <f t="shared" si="29"/>
        <v>-300</v>
      </c>
    </row>
    <row r="388" spans="1:10" ht="24.95" hidden="1" customHeight="1">
      <c r="A388" s="180"/>
      <c r="B388" s="102" t="s">
        <v>1268</v>
      </c>
      <c r="C388" s="103" t="s">
        <v>147</v>
      </c>
      <c r="D388" s="104">
        <v>829000</v>
      </c>
      <c r="E388" s="104">
        <v>829000</v>
      </c>
      <c r="F388" s="175">
        <f t="shared" si="30"/>
        <v>0</v>
      </c>
      <c r="G388" s="167">
        <f t="shared" si="30"/>
        <v>829000</v>
      </c>
      <c r="H388" s="101" t="e">
        <f t="shared" si="29"/>
        <v>#VALUE!</v>
      </c>
      <c r="I388" s="101">
        <f t="shared" si="33"/>
        <v>-829000</v>
      </c>
      <c r="J388" s="101">
        <f t="shared" si="29"/>
        <v>-100</v>
      </c>
    </row>
    <row r="389" spans="1:10" ht="24.95" hidden="1" customHeight="1">
      <c r="A389" s="180"/>
      <c r="B389" s="102" t="s">
        <v>1269</v>
      </c>
      <c r="C389" s="103" t="s">
        <v>151</v>
      </c>
      <c r="D389" s="104"/>
      <c r="E389" s="104">
        <v>1225000</v>
      </c>
      <c r="F389" s="175">
        <f t="shared" si="30"/>
        <v>-1225000</v>
      </c>
      <c r="G389" s="167">
        <f t="shared" si="30"/>
        <v>2450000</v>
      </c>
      <c r="H389" s="101" t="e">
        <f t="shared" si="29"/>
        <v>#VALUE!</v>
      </c>
      <c r="I389" s="101">
        <f t="shared" si="33"/>
        <v>-3675000</v>
      </c>
      <c r="J389" s="101">
        <f t="shared" si="29"/>
        <v>-300</v>
      </c>
    </row>
    <row r="390" spans="1:10" ht="24.95" hidden="1" customHeight="1">
      <c r="A390" s="180"/>
      <c r="B390" s="102" t="s">
        <v>1270</v>
      </c>
      <c r="C390" s="103" t="s">
        <v>155</v>
      </c>
      <c r="D390" s="104">
        <v>1225000</v>
      </c>
      <c r="E390" s="104">
        <v>1225000</v>
      </c>
      <c r="F390" s="175">
        <f t="shared" si="30"/>
        <v>0</v>
      </c>
      <c r="G390" s="167">
        <f t="shared" si="30"/>
        <v>1225000</v>
      </c>
      <c r="H390" s="101" t="e">
        <f t="shared" si="29"/>
        <v>#VALUE!</v>
      </c>
      <c r="I390" s="101">
        <f t="shared" si="33"/>
        <v>-1225000</v>
      </c>
      <c r="J390" s="101">
        <f t="shared" si="29"/>
        <v>-100</v>
      </c>
    </row>
    <row r="391" spans="1:10" ht="24.95" hidden="1" customHeight="1">
      <c r="A391" s="180"/>
      <c r="B391" s="102" t="s">
        <v>1271</v>
      </c>
      <c r="C391" s="103" t="s">
        <v>193</v>
      </c>
      <c r="D391" s="104"/>
      <c r="E391" s="104">
        <v>6345000</v>
      </c>
      <c r="F391" s="175">
        <f t="shared" si="30"/>
        <v>-6345000</v>
      </c>
      <c r="G391" s="167">
        <f t="shared" si="30"/>
        <v>12690000</v>
      </c>
      <c r="H391" s="101" t="e">
        <f t="shared" si="29"/>
        <v>#VALUE!</v>
      </c>
      <c r="I391" s="101">
        <f t="shared" si="33"/>
        <v>-19035000</v>
      </c>
      <c r="J391" s="101">
        <f t="shared" si="29"/>
        <v>-300</v>
      </c>
    </row>
    <row r="392" spans="1:10" ht="24.95" hidden="1" customHeight="1">
      <c r="A392" s="180"/>
      <c r="B392" s="102" t="s">
        <v>1272</v>
      </c>
      <c r="C392" s="103" t="s">
        <v>195</v>
      </c>
      <c r="D392" s="104">
        <v>6345000</v>
      </c>
      <c r="E392" s="104">
        <v>6345000</v>
      </c>
      <c r="F392" s="175">
        <f t="shared" si="30"/>
        <v>0</v>
      </c>
      <c r="G392" s="167">
        <f t="shared" si="30"/>
        <v>6345000</v>
      </c>
      <c r="H392" s="101" t="e">
        <f t="shared" si="29"/>
        <v>#VALUE!</v>
      </c>
      <c r="I392" s="101">
        <f t="shared" si="33"/>
        <v>-6345000</v>
      </c>
      <c r="J392" s="101">
        <f t="shared" si="29"/>
        <v>-100</v>
      </c>
    </row>
    <row r="393" spans="1:10" ht="24.95" hidden="1" customHeight="1">
      <c r="A393" s="180"/>
      <c r="B393" s="102" t="s">
        <v>1273</v>
      </c>
      <c r="C393" s="103" t="s">
        <v>157</v>
      </c>
      <c r="D393" s="104"/>
      <c r="E393" s="104">
        <v>7850000</v>
      </c>
      <c r="F393" s="175">
        <f t="shared" si="30"/>
        <v>-7850000</v>
      </c>
      <c r="G393" s="167">
        <f t="shared" si="30"/>
        <v>15700000</v>
      </c>
      <c r="H393" s="101" t="e">
        <f t="shared" si="29"/>
        <v>#VALUE!</v>
      </c>
      <c r="I393" s="101">
        <f t="shared" si="33"/>
        <v>-23550000</v>
      </c>
      <c r="J393" s="101">
        <f t="shared" si="29"/>
        <v>-300</v>
      </c>
    </row>
    <row r="394" spans="1:10" ht="24.95" hidden="1" customHeight="1">
      <c r="A394" s="180"/>
      <c r="B394" s="102" t="s">
        <v>1274</v>
      </c>
      <c r="C394" s="103" t="s">
        <v>159</v>
      </c>
      <c r="D394" s="104">
        <v>3150000</v>
      </c>
      <c r="E394" s="104">
        <v>3150000</v>
      </c>
      <c r="F394" s="175">
        <f t="shared" si="30"/>
        <v>0</v>
      </c>
      <c r="G394" s="167">
        <f t="shared" si="30"/>
        <v>3150000</v>
      </c>
      <c r="H394" s="101" t="e">
        <f t="shared" ref="H394:J457" si="34">G394/C394*100</f>
        <v>#VALUE!</v>
      </c>
      <c r="I394" s="101">
        <f t="shared" si="33"/>
        <v>-3150000</v>
      </c>
      <c r="J394" s="101">
        <f t="shared" si="34"/>
        <v>-100</v>
      </c>
    </row>
    <row r="395" spans="1:10" ht="24.95" hidden="1" customHeight="1">
      <c r="A395" s="180"/>
      <c r="B395" s="102" t="s">
        <v>1275</v>
      </c>
      <c r="C395" s="103" t="s">
        <v>207</v>
      </c>
      <c r="D395" s="104">
        <v>4700000</v>
      </c>
      <c r="E395" s="104">
        <v>4700000</v>
      </c>
      <c r="F395" s="175">
        <f t="shared" ref="F395:G458" si="35">D395-E395</f>
        <v>0</v>
      </c>
      <c r="G395" s="167">
        <f t="shared" si="35"/>
        <v>4700000</v>
      </c>
      <c r="H395" s="101" t="e">
        <f t="shared" si="34"/>
        <v>#VALUE!</v>
      </c>
      <c r="I395" s="101">
        <f t="shared" si="33"/>
        <v>-4700000</v>
      </c>
      <c r="J395" s="101">
        <f t="shared" si="34"/>
        <v>-100</v>
      </c>
    </row>
    <row r="396" spans="1:10" ht="24.95" customHeight="1">
      <c r="A396" s="178">
        <v>25</v>
      </c>
      <c r="B396" s="193" t="s">
        <v>1276</v>
      </c>
      <c r="C396" s="195" t="s">
        <v>681</v>
      </c>
      <c r="D396" s="197">
        <f>SUM(D399:D413)</f>
        <v>38617000</v>
      </c>
      <c r="E396" s="197">
        <f>'rekap REALISASI REKO '!AB487</f>
        <v>30090000</v>
      </c>
      <c r="F396" s="199">
        <f>D396-E396</f>
        <v>8527000</v>
      </c>
      <c r="G396" s="201">
        <f>'rekap REALISASI REKO '!AQ487</f>
        <v>30079750</v>
      </c>
      <c r="H396" s="214">
        <f>G396/E396*100</f>
        <v>99.965935526753071</v>
      </c>
      <c r="I396" s="214">
        <f>E396-G396</f>
        <v>10250</v>
      </c>
      <c r="J396" s="214">
        <f>I396/E396*100</f>
        <v>3.4064473246925887E-2</v>
      </c>
    </row>
    <row r="397" spans="1:10" ht="1.5" customHeight="1">
      <c r="A397" s="179"/>
      <c r="B397" s="194"/>
      <c r="C397" s="196"/>
      <c r="D397" s="198"/>
      <c r="E397" s="198"/>
      <c r="F397" s="200"/>
      <c r="G397" s="202"/>
      <c r="H397" s="215"/>
      <c r="I397" s="215"/>
      <c r="J397" s="215"/>
    </row>
    <row r="398" spans="1:10" ht="20.100000000000001" hidden="1" customHeight="1">
      <c r="A398" s="180"/>
      <c r="B398" s="102" t="s">
        <v>1277</v>
      </c>
      <c r="C398" s="103" t="s">
        <v>10</v>
      </c>
      <c r="D398" s="104"/>
      <c r="E398" s="104">
        <v>7440000</v>
      </c>
      <c r="F398" s="175">
        <f t="shared" si="35"/>
        <v>-7440000</v>
      </c>
      <c r="G398" s="167">
        <f t="shared" si="35"/>
        <v>14880000</v>
      </c>
      <c r="H398" s="101" t="e">
        <f t="shared" si="34"/>
        <v>#VALUE!</v>
      </c>
      <c r="I398" s="101">
        <f t="shared" ref="I398:I413" si="36">F398-G398</f>
        <v>-22320000</v>
      </c>
      <c r="J398" s="101">
        <f t="shared" si="34"/>
        <v>-300</v>
      </c>
    </row>
    <row r="399" spans="1:10" ht="20.100000000000001" hidden="1" customHeight="1">
      <c r="A399" s="180"/>
      <c r="B399" s="102" t="s">
        <v>1278</v>
      </c>
      <c r="C399" s="103" t="s">
        <v>177</v>
      </c>
      <c r="D399" s="104"/>
      <c r="E399" s="104">
        <v>2640000</v>
      </c>
      <c r="F399" s="175">
        <f t="shared" si="35"/>
        <v>-2640000</v>
      </c>
      <c r="G399" s="167">
        <f t="shared" si="35"/>
        <v>5280000</v>
      </c>
      <c r="H399" s="101" t="e">
        <f t="shared" si="34"/>
        <v>#VALUE!</v>
      </c>
      <c r="I399" s="101">
        <f t="shared" si="36"/>
        <v>-7920000</v>
      </c>
      <c r="J399" s="101">
        <f t="shared" si="34"/>
        <v>-300</v>
      </c>
    </row>
    <row r="400" spans="1:10" ht="20.100000000000001" hidden="1" customHeight="1">
      <c r="A400" s="180"/>
      <c r="B400" s="102" t="s">
        <v>1279</v>
      </c>
      <c r="C400" s="103" t="s">
        <v>283</v>
      </c>
      <c r="D400" s="104">
        <v>2640000</v>
      </c>
      <c r="E400" s="104">
        <v>2640000</v>
      </c>
      <c r="F400" s="175">
        <f t="shared" si="35"/>
        <v>0</v>
      </c>
      <c r="G400" s="167">
        <f t="shared" si="35"/>
        <v>2640000</v>
      </c>
      <c r="H400" s="101" t="e">
        <f t="shared" si="34"/>
        <v>#VALUE!</v>
      </c>
      <c r="I400" s="101">
        <f t="shared" si="36"/>
        <v>-2640000</v>
      </c>
      <c r="J400" s="101">
        <f t="shared" si="34"/>
        <v>-100</v>
      </c>
    </row>
    <row r="401" spans="1:10" ht="20.100000000000001" hidden="1" customHeight="1">
      <c r="A401" s="180"/>
      <c r="B401" s="102" t="s">
        <v>1280</v>
      </c>
      <c r="C401" s="103" t="s">
        <v>341</v>
      </c>
      <c r="D401" s="104"/>
      <c r="E401" s="104">
        <v>4800000</v>
      </c>
      <c r="F401" s="175">
        <f t="shared" si="35"/>
        <v>-4800000</v>
      </c>
      <c r="G401" s="167">
        <f t="shared" si="35"/>
        <v>9600000</v>
      </c>
      <c r="H401" s="101" t="e">
        <f t="shared" si="34"/>
        <v>#VALUE!</v>
      </c>
      <c r="I401" s="101">
        <f t="shared" si="36"/>
        <v>-14400000</v>
      </c>
      <c r="J401" s="101">
        <f t="shared" si="34"/>
        <v>-300</v>
      </c>
    </row>
    <row r="402" spans="1:10" ht="20.100000000000001" hidden="1" customHeight="1">
      <c r="A402" s="180"/>
      <c r="B402" s="102" t="s">
        <v>1281</v>
      </c>
      <c r="C402" s="103" t="s">
        <v>283</v>
      </c>
      <c r="D402" s="104">
        <v>4800000</v>
      </c>
      <c r="E402" s="104">
        <v>4800000</v>
      </c>
      <c r="F402" s="175">
        <f t="shared" si="35"/>
        <v>0</v>
      </c>
      <c r="G402" s="167">
        <f t="shared" si="35"/>
        <v>4800000</v>
      </c>
      <c r="H402" s="101" t="e">
        <f t="shared" si="34"/>
        <v>#VALUE!</v>
      </c>
      <c r="I402" s="101">
        <f t="shared" si="36"/>
        <v>-4800000</v>
      </c>
      <c r="J402" s="101">
        <f t="shared" si="34"/>
        <v>-100</v>
      </c>
    </row>
    <row r="403" spans="1:10" ht="20.100000000000001" hidden="1" customHeight="1">
      <c r="A403" s="180"/>
      <c r="B403" s="102" t="s">
        <v>1282</v>
      </c>
      <c r="C403" s="103" t="s">
        <v>143</v>
      </c>
      <c r="D403" s="104"/>
      <c r="E403" s="104">
        <v>31177000</v>
      </c>
      <c r="F403" s="175">
        <f t="shared" si="35"/>
        <v>-31177000</v>
      </c>
      <c r="G403" s="167">
        <f t="shared" si="35"/>
        <v>62354000</v>
      </c>
      <c r="H403" s="101" t="e">
        <f t="shared" si="34"/>
        <v>#VALUE!</v>
      </c>
      <c r="I403" s="101">
        <f t="shared" si="36"/>
        <v>-93531000</v>
      </c>
      <c r="J403" s="101">
        <f t="shared" si="34"/>
        <v>-300</v>
      </c>
    </row>
    <row r="404" spans="1:10" ht="20.100000000000001" hidden="1" customHeight="1">
      <c r="A404" s="180"/>
      <c r="B404" s="102" t="s">
        <v>1283</v>
      </c>
      <c r="C404" s="103" t="s">
        <v>145</v>
      </c>
      <c r="D404" s="104"/>
      <c r="E404" s="104">
        <v>2222000</v>
      </c>
      <c r="F404" s="175">
        <f t="shared" si="35"/>
        <v>-2222000</v>
      </c>
      <c r="G404" s="167">
        <f t="shared" si="35"/>
        <v>4444000</v>
      </c>
      <c r="H404" s="101" t="e">
        <f t="shared" si="34"/>
        <v>#VALUE!</v>
      </c>
      <c r="I404" s="101">
        <f t="shared" si="36"/>
        <v>-6666000</v>
      </c>
      <c r="J404" s="101">
        <f t="shared" si="34"/>
        <v>-300</v>
      </c>
    </row>
    <row r="405" spans="1:10" ht="20.100000000000001" hidden="1" customHeight="1">
      <c r="A405" s="180"/>
      <c r="B405" s="102" t="s">
        <v>1284</v>
      </c>
      <c r="C405" s="103" t="s">
        <v>147</v>
      </c>
      <c r="D405" s="104">
        <v>2222000</v>
      </c>
      <c r="E405" s="104">
        <v>2222000</v>
      </c>
      <c r="F405" s="175">
        <f t="shared" si="35"/>
        <v>0</v>
      </c>
      <c r="G405" s="167">
        <f t="shared" si="35"/>
        <v>2222000</v>
      </c>
      <c r="H405" s="101" t="e">
        <f t="shared" si="34"/>
        <v>#VALUE!</v>
      </c>
      <c r="I405" s="101">
        <f t="shared" si="36"/>
        <v>-2222000</v>
      </c>
      <c r="J405" s="101">
        <f t="shared" si="34"/>
        <v>-100</v>
      </c>
    </row>
    <row r="406" spans="1:10" ht="20.100000000000001" hidden="1" customHeight="1">
      <c r="A406" s="180"/>
      <c r="B406" s="102" t="s">
        <v>1285</v>
      </c>
      <c r="C406" s="103" t="s">
        <v>163</v>
      </c>
      <c r="D406" s="104"/>
      <c r="E406" s="104">
        <v>10000000</v>
      </c>
      <c r="F406" s="175">
        <f t="shared" si="35"/>
        <v>-10000000</v>
      </c>
      <c r="G406" s="167">
        <f t="shared" si="35"/>
        <v>20000000</v>
      </c>
      <c r="H406" s="101" t="e">
        <f t="shared" si="34"/>
        <v>#VALUE!</v>
      </c>
      <c r="I406" s="101">
        <f t="shared" si="36"/>
        <v>-30000000</v>
      </c>
      <c r="J406" s="101">
        <f t="shared" si="34"/>
        <v>-300</v>
      </c>
    </row>
    <row r="407" spans="1:10" ht="20.100000000000001" hidden="1" customHeight="1">
      <c r="A407" s="180"/>
      <c r="B407" s="102" t="s">
        <v>1286</v>
      </c>
      <c r="C407" s="103" t="s">
        <v>352</v>
      </c>
      <c r="D407" s="104">
        <v>10000000</v>
      </c>
      <c r="E407" s="104">
        <v>10000000</v>
      </c>
      <c r="F407" s="175">
        <f t="shared" si="35"/>
        <v>0</v>
      </c>
      <c r="G407" s="167">
        <f t="shared" si="35"/>
        <v>10000000</v>
      </c>
      <c r="H407" s="101" t="e">
        <f t="shared" si="34"/>
        <v>#VALUE!</v>
      </c>
      <c r="I407" s="101">
        <f t="shared" si="36"/>
        <v>-10000000</v>
      </c>
      <c r="J407" s="101">
        <f t="shared" si="34"/>
        <v>-100</v>
      </c>
    </row>
    <row r="408" spans="1:10" ht="20.100000000000001" hidden="1" customHeight="1">
      <c r="A408" s="180"/>
      <c r="B408" s="102" t="s">
        <v>1287</v>
      </c>
      <c r="C408" s="103" t="s">
        <v>151</v>
      </c>
      <c r="D408" s="104"/>
      <c r="E408" s="104">
        <v>875000</v>
      </c>
      <c r="F408" s="175">
        <f t="shared" si="35"/>
        <v>-875000</v>
      </c>
      <c r="G408" s="167">
        <f t="shared" si="35"/>
        <v>1750000</v>
      </c>
      <c r="H408" s="101" t="e">
        <f t="shared" si="34"/>
        <v>#VALUE!</v>
      </c>
      <c r="I408" s="101">
        <f t="shared" si="36"/>
        <v>-2625000</v>
      </c>
      <c r="J408" s="101">
        <f t="shared" si="34"/>
        <v>-300</v>
      </c>
    </row>
    <row r="409" spans="1:10" ht="20.100000000000001" hidden="1" customHeight="1">
      <c r="A409" s="180"/>
      <c r="B409" s="102" t="s">
        <v>1288</v>
      </c>
      <c r="C409" s="103" t="s">
        <v>155</v>
      </c>
      <c r="D409" s="104">
        <v>875000</v>
      </c>
      <c r="E409" s="104">
        <v>875000</v>
      </c>
      <c r="F409" s="175">
        <f t="shared" si="35"/>
        <v>0</v>
      </c>
      <c r="G409" s="167">
        <f t="shared" si="35"/>
        <v>875000</v>
      </c>
      <c r="H409" s="101" t="e">
        <f t="shared" si="34"/>
        <v>#VALUE!</v>
      </c>
      <c r="I409" s="101">
        <f t="shared" si="36"/>
        <v>-875000</v>
      </c>
      <c r="J409" s="101">
        <f t="shared" si="34"/>
        <v>-100</v>
      </c>
    </row>
    <row r="410" spans="1:10" ht="20.100000000000001" hidden="1" customHeight="1">
      <c r="A410" s="180"/>
      <c r="B410" s="102" t="s">
        <v>1289</v>
      </c>
      <c r="C410" s="103" t="s">
        <v>193</v>
      </c>
      <c r="D410" s="104"/>
      <c r="E410" s="104">
        <v>12750000</v>
      </c>
      <c r="F410" s="175">
        <f t="shared" si="35"/>
        <v>-12750000</v>
      </c>
      <c r="G410" s="167">
        <f t="shared" si="35"/>
        <v>25500000</v>
      </c>
      <c r="H410" s="101" t="e">
        <f t="shared" si="34"/>
        <v>#VALUE!</v>
      </c>
      <c r="I410" s="101">
        <f t="shared" si="36"/>
        <v>-38250000</v>
      </c>
      <c r="J410" s="101">
        <f t="shared" si="34"/>
        <v>-300</v>
      </c>
    </row>
    <row r="411" spans="1:10" ht="20.100000000000001" hidden="1" customHeight="1">
      <c r="A411" s="180"/>
      <c r="B411" s="102" t="s">
        <v>1290</v>
      </c>
      <c r="C411" s="103" t="s">
        <v>195</v>
      </c>
      <c r="D411" s="104">
        <v>12750000</v>
      </c>
      <c r="E411" s="104">
        <v>12750000</v>
      </c>
      <c r="F411" s="175">
        <f t="shared" si="35"/>
        <v>0</v>
      </c>
      <c r="G411" s="167">
        <f t="shared" si="35"/>
        <v>12750000</v>
      </c>
      <c r="H411" s="101" t="e">
        <f t="shared" si="34"/>
        <v>#VALUE!</v>
      </c>
      <c r="I411" s="101">
        <f t="shared" si="36"/>
        <v>-12750000</v>
      </c>
      <c r="J411" s="101">
        <f t="shared" si="34"/>
        <v>-100</v>
      </c>
    </row>
    <row r="412" spans="1:10" ht="20.100000000000001" hidden="1" customHeight="1">
      <c r="A412" s="180"/>
      <c r="B412" s="102" t="s">
        <v>1291</v>
      </c>
      <c r="C412" s="103" t="s">
        <v>157</v>
      </c>
      <c r="D412" s="104"/>
      <c r="E412" s="104">
        <v>5330000</v>
      </c>
      <c r="F412" s="175">
        <f t="shared" si="35"/>
        <v>-5330000</v>
      </c>
      <c r="G412" s="167">
        <f t="shared" si="35"/>
        <v>10660000</v>
      </c>
      <c r="H412" s="101" t="e">
        <f t="shared" si="34"/>
        <v>#VALUE!</v>
      </c>
      <c r="I412" s="101">
        <f t="shared" si="36"/>
        <v>-15990000</v>
      </c>
      <c r="J412" s="101">
        <f t="shared" si="34"/>
        <v>-300</v>
      </c>
    </row>
    <row r="413" spans="1:10" ht="20.100000000000001" hidden="1" customHeight="1">
      <c r="A413" s="180"/>
      <c r="B413" s="102" t="s">
        <v>1292</v>
      </c>
      <c r="C413" s="103" t="s">
        <v>159</v>
      </c>
      <c r="D413" s="104">
        <v>5330000</v>
      </c>
      <c r="E413" s="104">
        <v>5330000</v>
      </c>
      <c r="F413" s="175">
        <f t="shared" si="35"/>
        <v>0</v>
      </c>
      <c r="G413" s="167">
        <f t="shared" si="35"/>
        <v>5330000</v>
      </c>
      <c r="H413" s="101" t="e">
        <f t="shared" si="34"/>
        <v>#VALUE!</v>
      </c>
      <c r="I413" s="101">
        <f t="shared" si="36"/>
        <v>-5330000</v>
      </c>
      <c r="J413" s="101">
        <f t="shared" si="34"/>
        <v>-100</v>
      </c>
    </row>
    <row r="414" spans="1:10" ht="20.100000000000001" customHeight="1">
      <c r="A414" s="178">
        <v>26</v>
      </c>
      <c r="B414" s="193" t="s">
        <v>1293</v>
      </c>
      <c r="C414" s="195" t="s">
        <v>1294</v>
      </c>
      <c r="D414" s="197">
        <f>SUM(D416:D430)</f>
        <v>30013000</v>
      </c>
      <c r="E414" s="197">
        <v>0</v>
      </c>
      <c r="F414" s="199">
        <f>D414-E414</f>
        <v>30013000</v>
      </c>
      <c r="G414" s="201">
        <v>0</v>
      </c>
      <c r="H414" s="214">
        <v>0</v>
      </c>
      <c r="I414" s="214">
        <f>E414-G414</f>
        <v>0</v>
      </c>
      <c r="J414" s="214">
        <v>0</v>
      </c>
    </row>
    <row r="415" spans="1:10" ht="4.5" customHeight="1">
      <c r="A415" s="179"/>
      <c r="B415" s="194"/>
      <c r="C415" s="196"/>
      <c r="D415" s="198"/>
      <c r="E415" s="198"/>
      <c r="F415" s="200"/>
      <c r="G415" s="202"/>
      <c r="H415" s="215"/>
      <c r="I415" s="215"/>
      <c r="J415" s="215"/>
    </row>
    <row r="416" spans="1:10" ht="20.100000000000001" hidden="1" customHeight="1">
      <c r="A416" s="180"/>
      <c r="B416" s="102" t="s">
        <v>1295</v>
      </c>
      <c r="C416" s="103" t="s">
        <v>10</v>
      </c>
      <c r="D416" s="104"/>
      <c r="E416" s="104">
        <v>2600000</v>
      </c>
      <c r="F416" s="175">
        <f t="shared" si="35"/>
        <v>-2600000</v>
      </c>
      <c r="G416" s="167">
        <f t="shared" si="35"/>
        <v>5200000</v>
      </c>
      <c r="H416" s="101" t="e">
        <f t="shared" si="34"/>
        <v>#VALUE!</v>
      </c>
      <c r="I416" s="101">
        <f t="shared" ref="I416:I430" si="37">F416-G416</f>
        <v>-7800000</v>
      </c>
      <c r="J416" s="101">
        <f t="shared" si="34"/>
        <v>-300</v>
      </c>
    </row>
    <row r="417" spans="1:10" ht="20.100000000000001" hidden="1" customHeight="1">
      <c r="A417" s="180"/>
      <c r="B417" s="102" t="s">
        <v>1296</v>
      </c>
      <c r="C417" s="103" t="s">
        <v>177</v>
      </c>
      <c r="D417" s="104"/>
      <c r="E417" s="104">
        <v>2600000</v>
      </c>
      <c r="F417" s="175">
        <f t="shared" si="35"/>
        <v>-2600000</v>
      </c>
      <c r="G417" s="167">
        <f t="shared" si="35"/>
        <v>5200000</v>
      </c>
      <c r="H417" s="101" t="e">
        <f t="shared" si="34"/>
        <v>#VALUE!</v>
      </c>
      <c r="I417" s="101">
        <f t="shared" si="37"/>
        <v>-7800000</v>
      </c>
      <c r="J417" s="101">
        <f t="shared" si="34"/>
        <v>-300</v>
      </c>
    </row>
    <row r="418" spans="1:10" ht="20.100000000000001" hidden="1" customHeight="1">
      <c r="A418" s="180"/>
      <c r="B418" s="102" t="s">
        <v>1297</v>
      </c>
      <c r="C418" s="103" t="s">
        <v>283</v>
      </c>
      <c r="D418" s="104">
        <v>2600000</v>
      </c>
      <c r="E418" s="104">
        <v>2600000</v>
      </c>
      <c r="F418" s="175">
        <f t="shared" si="35"/>
        <v>0</v>
      </c>
      <c r="G418" s="167">
        <f t="shared" si="35"/>
        <v>2600000</v>
      </c>
      <c r="H418" s="101" t="e">
        <f t="shared" si="34"/>
        <v>#VALUE!</v>
      </c>
      <c r="I418" s="101">
        <f t="shared" si="37"/>
        <v>-2600000</v>
      </c>
      <c r="J418" s="101">
        <f t="shared" si="34"/>
        <v>-100</v>
      </c>
    </row>
    <row r="419" spans="1:10" ht="20.100000000000001" hidden="1" customHeight="1">
      <c r="A419" s="180"/>
      <c r="B419" s="102" t="s">
        <v>1298</v>
      </c>
      <c r="C419" s="103" t="s">
        <v>143</v>
      </c>
      <c r="D419" s="104"/>
      <c r="E419" s="104">
        <v>27413000</v>
      </c>
      <c r="F419" s="175">
        <f t="shared" si="35"/>
        <v>-27413000</v>
      </c>
      <c r="G419" s="167">
        <f t="shared" si="35"/>
        <v>54826000</v>
      </c>
      <c r="H419" s="101" t="e">
        <f t="shared" si="34"/>
        <v>#VALUE!</v>
      </c>
      <c r="I419" s="101">
        <f t="shared" si="37"/>
        <v>-82239000</v>
      </c>
      <c r="J419" s="101">
        <f t="shared" si="34"/>
        <v>-300</v>
      </c>
    </row>
    <row r="420" spans="1:10" ht="20.100000000000001" hidden="1" customHeight="1">
      <c r="A420" s="180"/>
      <c r="B420" s="102" t="s">
        <v>1299</v>
      </c>
      <c r="C420" s="103" t="s">
        <v>145</v>
      </c>
      <c r="D420" s="104"/>
      <c r="E420" s="104">
        <v>1909000</v>
      </c>
      <c r="F420" s="175">
        <f t="shared" si="35"/>
        <v>-1909000</v>
      </c>
      <c r="G420" s="167">
        <f t="shared" si="35"/>
        <v>3818000</v>
      </c>
      <c r="H420" s="101" t="e">
        <f t="shared" si="34"/>
        <v>#VALUE!</v>
      </c>
      <c r="I420" s="101">
        <f t="shared" si="37"/>
        <v>-5727000</v>
      </c>
      <c r="J420" s="101">
        <f t="shared" si="34"/>
        <v>-300</v>
      </c>
    </row>
    <row r="421" spans="1:10" ht="20.100000000000001" hidden="1" customHeight="1">
      <c r="A421" s="180"/>
      <c r="B421" s="102" t="s">
        <v>1300</v>
      </c>
      <c r="C421" s="103" t="s">
        <v>147</v>
      </c>
      <c r="D421" s="104">
        <v>1909000</v>
      </c>
      <c r="E421" s="104">
        <v>1909000</v>
      </c>
      <c r="F421" s="175">
        <f t="shared" si="35"/>
        <v>0</v>
      </c>
      <c r="G421" s="167">
        <f t="shared" si="35"/>
        <v>1909000</v>
      </c>
      <c r="H421" s="101" t="e">
        <f t="shared" si="34"/>
        <v>#VALUE!</v>
      </c>
      <c r="I421" s="101">
        <f t="shared" si="37"/>
        <v>-1909000</v>
      </c>
      <c r="J421" s="101">
        <f t="shared" si="34"/>
        <v>-100</v>
      </c>
    </row>
    <row r="422" spans="1:10" ht="20.100000000000001" hidden="1" customHeight="1">
      <c r="A422" s="180"/>
      <c r="B422" s="102" t="s">
        <v>1301</v>
      </c>
      <c r="C422" s="103" t="s">
        <v>163</v>
      </c>
      <c r="D422" s="104"/>
      <c r="E422" s="104">
        <v>5000000</v>
      </c>
      <c r="F422" s="175">
        <f t="shared" si="35"/>
        <v>-5000000</v>
      </c>
      <c r="G422" s="167">
        <f t="shared" si="35"/>
        <v>10000000</v>
      </c>
      <c r="H422" s="101" t="e">
        <f t="shared" si="34"/>
        <v>#VALUE!</v>
      </c>
      <c r="I422" s="101">
        <f t="shared" si="37"/>
        <v>-15000000</v>
      </c>
      <c r="J422" s="101">
        <f t="shared" si="34"/>
        <v>-300</v>
      </c>
    </row>
    <row r="423" spans="1:10" ht="20.100000000000001" hidden="1" customHeight="1">
      <c r="A423" s="180"/>
      <c r="B423" s="102" t="s">
        <v>1302</v>
      </c>
      <c r="C423" s="103" t="s">
        <v>352</v>
      </c>
      <c r="D423" s="104">
        <v>5000000</v>
      </c>
      <c r="E423" s="104">
        <v>5000000</v>
      </c>
      <c r="F423" s="175">
        <f t="shared" si="35"/>
        <v>0</v>
      </c>
      <c r="G423" s="167">
        <f t="shared" si="35"/>
        <v>5000000</v>
      </c>
      <c r="H423" s="101" t="e">
        <f t="shared" si="34"/>
        <v>#VALUE!</v>
      </c>
      <c r="I423" s="101">
        <f t="shared" si="37"/>
        <v>-5000000</v>
      </c>
      <c r="J423" s="101">
        <f t="shared" si="34"/>
        <v>-100</v>
      </c>
    </row>
    <row r="424" spans="1:10" ht="20.100000000000001" hidden="1" customHeight="1">
      <c r="A424" s="180"/>
      <c r="B424" s="102" t="s">
        <v>1303</v>
      </c>
      <c r="C424" s="103" t="s">
        <v>151</v>
      </c>
      <c r="D424" s="104"/>
      <c r="E424" s="104">
        <v>1400000</v>
      </c>
      <c r="F424" s="175">
        <f t="shared" si="35"/>
        <v>-1400000</v>
      </c>
      <c r="G424" s="167">
        <f t="shared" si="35"/>
        <v>2800000</v>
      </c>
      <c r="H424" s="101" t="e">
        <f t="shared" si="34"/>
        <v>#VALUE!</v>
      </c>
      <c r="I424" s="101">
        <f t="shared" si="37"/>
        <v>-4200000</v>
      </c>
      <c r="J424" s="101">
        <f t="shared" si="34"/>
        <v>-300</v>
      </c>
    </row>
    <row r="425" spans="1:10" ht="20.100000000000001" hidden="1" customHeight="1">
      <c r="A425" s="180"/>
      <c r="B425" s="102" t="s">
        <v>1304</v>
      </c>
      <c r="C425" s="103" t="s">
        <v>155</v>
      </c>
      <c r="D425" s="104">
        <v>1400000</v>
      </c>
      <c r="E425" s="104">
        <v>1400000</v>
      </c>
      <c r="F425" s="175">
        <f t="shared" si="35"/>
        <v>0</v>
      </c>
      <c r="G425" s="167">
        <f t="shared" si="35"/>
        <v>1400000</v>
      </c>
      <c r="H425" s="101" t="e">
        <f t="shared" si="34"/>
        <v>#VALUE!</v>
      </c>
      <c r="I425" s="101">
        <f t="shared" si="37"/>
        <v>-1400000</v>
      </c>
      <c r="J425" s="101">
        <f t="shared" si="34"/>
        <v>-100</v>
      </c>
    </row>
    <row r="426" spans="1:10" ht="20.100000000000001" hidden="1" customHeight="1">
      <c r="A426" s="180"/>
      <c r="B426" s="102" t="s">
        <v>1305</v>
      </c>
      <c r="C426" s="103" t="s">
        <v>193</v>
      </c>
      <c r="D426" s="104"/>
      <c r="E426" s="104">
        <v>6804000</v>
      </c>
      <c r="F426" s="175">
        <f t="shared" si="35"/>
        <v>-6804000</v>
      </c>
      <c r="G426" s="167">
        <f t="shared" si="35"/>
        <v>13608000</v>
      </c>
      <c r="H426" s="101" t="e">
        <f t="shared" si="34"/>
        <v>#VALUE!</v>
      </c>
      <c r="I426" s="101">
        <f t="shared" si="37"/>
        <v>-20412000</v>
      </c>
      <c r="J426" s="101">
        <f t="shared" si="34"/>
        <v>-300</v>
      </c>
    </row>
    <row r="427" spans="1:10" ht="20.100000000000001" hidden="1" customHeight="1">
      <c r="A427" s="180"/>
      <c r="B427" s="102" t="s">
        <v>1306</v>
      </c>
      <c r="C427" s="103" t="s">
        <v>195</v>
      </c>
      <c r="D427" s="104">
        <v>6804000</v>
      </c>
      <c r="E427" s="104">
        <v>6804000</v>
      </c>
      <c r="F427" s="175">
        <f t="shared" si="35"/>
        <v>0</v>
      </c>
      <c r="G427" s="167">
        <f t="shared" si="35"/>
        <v>6804000</v>
      </c>
      <c r="H427" s="101" t="e">
        <f t="shared" si="34"/>
        <v>#VALUE!</v>
      </c>
      <c r="I427" s="101">
        <f t="shared" si="37"/>
        <v>-6804000</v>
      </c>
      <c r="J427" s="101">
        <f t="shared" si="34"/>
        <v>-100</v>
      </c>
    </row>
    <row r="428" spans="1:10" ht="20.100000000000001" hidden="1" customHeight="1">
      <c r="A428" s="180"/>
      <c r="B428" s="102" t="s">
        <v>1307</v>
      </c>
      <c r="C428" s="103" t="s">
        <v>157</v>
      </c>
      <c r="D428" s="104"/>
      <c r="E428" s="104">
        <v>12300000</v>
      </c>
      <c r="F428" s="175">
        <f t="shared" si="35"/>
        <v>-12300000</v>
      </c>
      <c r="G428" s="167">
        <f t="shared" si="35"/>
        <v>24600000</v>
      </c>
      <c r="H428" s="101" t="e">
        <f t="shared" si="34"/>
        <v>#VALUE!</v>
      </c>
      <c r="I428" s="101">
        <f t="shared" si="37"/>
        <v>-36900000</v>
      </c>
      <c r="J428" s="101">
        <f t="shared" si="34"/>
        <v>-300</v>
      </c>
    </row>
    <row r="429" spans="1:10" ht="20.100000000000001" hidden="1" customHeight="1">
      <c r="A429" s="180"/>
      <c r="B429" s="102" t="s">
        <v>1308</v>
      </c>
      <c r="C429" s="103" t="s">
        <v>159</v>
      </c>
      <c r="D429" s="104">
        <v>7100000</v>
      </c>
      <c r="E429" s="104">
        <v>7100000</v>
      </c>
      <c r="F429" s="175">
        <f t="shared" si="35"/>
        <v>0</v>
      </c>
      <c r="G429" s="167">
        <f t="shared" si="35"/>
        <v>7100000</v>
      </c>
      <c r="H429" s="101" t="e">
        <f t="shared" si="34"/>
        <v>#VALUE!</v>
      </c>
      <c r="I429" s="101">
        <f t="shared" si="37"/>
        <v>-7100000</v>
      </c>
      <c r="J429" s="101">
        <f t="shared" si="34"/>
        <v>-100</v>
      </c>
    </row>
    <row r="430" spans="1:10" ht="20.100000000000001" hidden="1" customHeight="1">
      <c r="A430" s="180"/>
      <c r="B430" s="102" t="s">
        <v>1309</v>
      </c>
      <c r="C430" s="103" t="s">
        <v>207</v>
      </c>
      <c r="D430" s="104">
        <v>5200000</v>
      </c>
      <c r="E430" s="104">
        <v>5200000</v>
      </c>
      <c r="F430" s="175">
        <f t="shared" si="35"/>
        <v>0</v>
      </c>
      <c r="G430" s="167">
        <f t="shared" si="35"/>
        <v>5200000</v>
      </c>
      <c r="H430" s="101" t="e">
        <f t="shared" si="34"/>
        <v>#VALUE!</v>
      </c>
      <c r="I430" s="101">
        <f t="shared" si="37"/>
        <v>-5200000</v>
      </c>
      <c r="J430" s="101">
        <f t="shared" si="34"/>
        <v>-100</v>
      </c>
    </row>
    <row r="431" spans="1:10" ht="20.100000000000001" customHeight="1">
      <c r="A431" s="178">
        <v>27</v>
      </c>
      <c r="B431" s="193" t="s">
        <v>1310</v>
      </c>
      <c r="C431" s="195" t="s">
        <v>699</v>
      </c>
      <c r="D431" s="197">
        <f>SUM(D433:D448)</f>
        <v>73357000</v>
      </c>
      <c r="E431" s="197">
        <f>'rekap REALISASI REKO '!AB504</f>
        <v>65500000</v>
      </c>
      <c r="F431" s="199">
        <f>D431-E431</f>
        <v>7857000</v>
      </c>
      <c r="G431" s="201">
        <f>'rekap REALISASI REKO '!AQ504</f>
        <v>65449850</v>
      </c>
      <c r="H431" s="214">
        <f>G431/E431*100</f>
        <v>99.923435114503818</v>
      </c>
      <c r="I431" s="214">
        <f>E431-G431</f>
        <v>50150</v>
      </c>
      <c r="J431" s="214">
        <f>I431/E431*100</f>
        <v>7.6564885496183205E-2</v>
      </c>
    </row>
    <row r="432" spans="1:10" ht="3" customHeight="1">
      <c r="A432" s="179"/>
      <c r="B432" s="194"/>
      <c r="C432" s="196"/>
      <c r="D432" s="198"/>
      <c r="E432" s="198"/>
      <c r="F432" s="200"/>
      <c r="G432" s="202"/>
      <c r="H432" s="215"/>
      <c r="I432" s="215"/>
      <c r="J432" s="215"/>
    </row>
    <row r="433" spans="1:10" ht="20.100000000000001" hidden="1" customHeight="1">
      <c r="A433" s="180"/>
      <c r="B433" s="102" t="s">
        <v>1311</v>
      </c>
      <c r="C433" s="103" t="s">
        <v>10</v>
      </c>
      <c r="D433" s="104"/>
      <c r="E433" s="104">
        <v>3480000</v>
      </c>
      <c r="F433" s="175">
        <f t="shared" si="35"/>
        <v>-3480000</v>
      </c>
      <c r="G433" s="167">
        <f t="shared" si="35"/>
        <v>6960000</v>
      </c>
      <c r="H433" s="101" t="e">
        <f t="shared" si="34"/>
        <v>#VALUE!</v>
      </c>
      <c r="I433" s="101">
        <f t="shared" ref="I433:I448" si="38">F433-G433</f>
        <v>-10440000</v>
      </c>
      <c r="J433" s="101">
        <f t="shared" si="34"/>
        <v>-300</v>
      </c>
    </row>
    <row r="434" spans="1:10" ht="20.100000000000001" hidden="1" customHeight="1">
      <c r="A434" s="180"/>
      <c r="B434" s="102" t="s">
        <v>1312</v>
      </c>
      <c r="C434" s="103" t="s">
        <v>177</v>
      </c>
      <c r="D434" s="104"/>
      <c r="E434" s="104">
        <v>3480000</v>
      </c>
      <c r="F434" s="175">
        <f t="shared" si="35"/>
        <v>-3480000</v>
      </c>
      <c r="G434" s="167">
        <f t="shared" si="35"/>
        <v>6960000</v>
      </c>
      <c r="H434" s="101" t="e">
        <f t="shared" si="34"/>
        <v>#VALUE!</v>
      </c>
      <c r="I434" s="101">
        <f t="shared" si="38"/>
        <v>-10440000</v>
      </c>
      <c r="J434" s="101">
        <f t="shared" si="34"/>
        <v>-300</v>
      </c>
    </row>
    <row r="435" spans="1:10" ht="20.100000000000001" hidden="1" customHeight="1">
      <c r="A435" s="180"/>
      <c r="B435" s="102" t="s">
        <v>1313</v>
      </c>
      <c r="C435" s="103" t="s">
        <v>283</v>
      </c>
      <c r="D435" s="104">
        <v>3480000</v>
      </c>
      <c r="E435" s="104">
        <v>3480000</v>
      </c>
      <c r="F435" s="175">
        <f t="shared" si="35"/>
        <v>0</v>
      </c>
      <c r="G435" s="167">
        <f t="shared" si="35"/>
        <v>3480000</v>
      </c>
      <c r="H435" s="101" t="e">
        <f t="shared" si="34"/>
        <v>#VALUE!</v>
      </c>
      <c r="I435" s="101">
        <f t="shared" si="38"/>
        <v>-3480000</v>
      </c>
      <c r="J435" s="101">
        <f t="shared" si="34"/>
        <v>-100</v>
      </c>
    </row>
    <row r="436" spans="1:10" ht="20.100000000000001" hidden="1" customHeight="1">
      <c r="A436" s="180"/>
      <c r="B436" s="102" t="s">
        <v>1314</v>
      </c>
      <c r="C436" s="103" t="s">
        <v>143</v>
      </c>
      <c r="D436" s="104"/>
      <c r="E436" s="104">
        <v>69877000</v>
      </c>
      <c r="F436" s="175">
        <f t="shared" si="35"/>
        <v>-69877000</v>
      </c>
      <c r="G436" s="167">
        <f t="shared" si="35"/>
        <v>139754000</v>
      </c>
      <c r="H436" s="101" t="e">
        <f t="shared" si="34"/>
        <v>#VALUE!</v>
      </c>
      <c r="I436" s="101">
        <f t="shared" si="38"/>
        <v>-209631000</v>
      </c>
      <c r="J436" s="101">
        <f t="shared" si="34"/>
        <v>-300</v>
      </c>
    </row>
    <row r="437" spans="1:10" ht="20.100000000000001" hidden="1" customHeight="1">
      <c r="A437" s="180"/>
      <c r="B437" s="102" t="s">
        <v>1315</v>
      </c>
      <c r="C437" s="103" t="s">
        <v>145</v>
      </c>
      <c r="D437" s="104"/>
      <c r="E437" s="104">
        <v>5903000</v>
      </c>
      <c r="F437" s="175">
        <f t="shared" si="35"/>
        <v>-5903000</v>
      </c>
      <c r="G437" s="167">
        <f t="shared" si="35"/>
        <v>11806000</v>
      </c>
      <c r="H437" s="101" t="e">
        <f t="shared" si="34"/>
        <v>#VALUE!</v>
      </c>
      <c r="I437" s="101">
        <f t="shared" si="38"/>
        <v>-17709000</v>
      </c>
      <c r="J437" s="101">
        <f t="shared" si="34"/>
        <v>-300</v>
      </c>
    </row>
    <row r="438" spans="1:10" ht="20.100000000000001" hidden="1" customHeight="1">
      <c r="A438" s="180"/>
      <c r="B438" s="102" t="s">
        <v>1316</v>
      </c>
      <c r="C438" s="103" t="s">
        <v>147</v>
      </c>
      <c r="D438" s="104">
        <v>903000</v>
      </c>
      <c r="E438" s="104">
        <v>903000</v>
      </c>
      <c r="F438" s="175">
        <f t="shared" si="35"/>
        <v>0</v>
      </c>
      <c r="G438" s="167">
        <f t="shared" si="35"/>
        <v>903000</v>
      </c>
      <c r="H438" s="101" t="e">
        <f t="shared" si="34"/>
        <v>#VALUE!</v>
      </c>
      <c r="I438" s="101">
        <f t="shared" si="38"/>
        <v>-903000</v>
      </c>
      <c r="J438" s="101">
        <f t="shared" si="34"/>
        <v>-100</v>
      </c>
    </row>
    <row r="439" spans="1:10" ht="20.100000000000001" hidden="1" customHeight="1">
      <c r="A439" s="180"/>
      <c r="B439" s="102" t="s">
        <v>1317</v>
      </c>
      <c r="C439" s="103" t="s">
        <v>1318</v>
      </c>
      <c r="D439" s="104">
        <v>5000000</v>
      </c>
      <c r="E439" s="104">
        <v>5000000</v>
      </c>
      <c r="F439" s="175">
        <f t="shared" si="35"/>
        <v>0</v>
      </c>
      <c r="G439" s="167">
        <f t="shared" si="35"/>
        <v>5000000</v>
      </c>
      <c r="H439" s="101" t="e">
        <f t="shared" si="34"/>
        <v>#VALUE!</v>
      </c>
      <c r="I439" s="101">
        <f t="shared" si="38"/>
        <v>-5000000</v>
      </c>
      <c r="J439" s="101">
        <f t="shared" si="34"/>
        <v>-100</v>
      </c>
    </row>
    <row r="440" spans="1:10" ht="20.100000000000001" hidden="1" customHeight="1">
      <c r="A440" s="180"/>
      <c r="B440" s="102" t="s">
        <v>1319</v>
      </c>
      <c r="C440" s="103" t="s">
        <v>163</v>
      </c>
      <c r="D440" s="104"/>
      <c r="E440" s="104">
        <v>440000</v>
      </c>
      <c r="F440" s="175">
        <f t="shared" si="35"/>
        <v>-440000</v>
      </c>
      <c r="G440" s="167">
        <f t="shared" si="35"/>
        <v>880000</v>
      </c>
      <c r="H440" s="101" t="e">
        <f t="shared" si="34"/>
        <v>#VALUE!</v>
      </c>
      <c r="I440" s="101">
        <f t="shared" si="38"/>
        <v>-1320000</v>
      </c>
      <c r="J440" s="101">
        <f t="shared" si="34"/>
        <v>-300</v>
      </c>
    </row>
    <row r="441" spans="1:10" ht="20.100000000000001" hidden="1" customHeight="1">
      <c r="A441" s="180"/>
      <c r="B441" s="102" t="s">
        <v>1320</v>
      </c>
      <c r="C441" s="103" t="s">
        <v>349</v>
      </c>
      <c r="D441" s="104">
        <v>440000</v>
      </c>
      <c r="E441" s="104">
        <v>440000</v>
      </c>
      <c r="F441" s="175">
        <f t="shared" si="35"/>
        <v>0</v>
      </c>
      <c r="G441" s="167">
        <f t="shared" si="35"/>
        <v>440000</v>
      </c>
      <c r="H441" s="101" t="e">
        <f t="shared" si="34"/>
        <v>#VALUE!</v>
      </c>
      <c r="I441" s="101">
        <f t="shared" si="38"/>
        <v>-440000</v>
      </c>
      <c r="J441" s="101">
        <f t="shared" si="34"/>
        <v>-100</v>
      </c>
    </row>
    <row r="442" spans="1:10" ht="20.100000000000001" hidden="1" customHeight="1">
      <c r="A442" s="180"/>
      <c r="B442" s="102" t="s">
        <v>1321</v>
      </c>
      <c r="C442" s="103" t="s">
        <v>151</v>
      </c>
      <c r="D442" s="104"/>
      <c r="E442" s="104">
        <v>984000</v>
      </c>
      <c r="F442" s="175">
        <f t="shared" si="35"/>
        <v>-984000</v>
      </c>
      <c r="G442" s="167">
        <f t="shared" si="35"/>
        <v>1968000</v>
      </c>
      <c r="H442" s="101" t="e">
        <f t="shared" si="34"/>
        <v>#VALUE!</v>
      </c>
      <c r="I442" s="101">
        <f t="shared" si="38"/>
        <v>-2952000</v>
      </c>
      <c r="J442" s="101">
        <f t="shared" si="34"/>
        <v>-300</v>
      </c>
    </row>
    <row r="443" spans="1:10" ht="20.100000000000001" hidden="1" customHeight="1">
      <c r="A443" s="180"/>
      <c r="B443" s="102" t="s">
        <v>1322</v>
      </c>
      <c r="C443" s="103" t="s">
        <v>155</v>
      </c>
      <c r="D443" s="104">
        <v>984000</v>
      </c>
      <c r="E443" s="104">
        <v>984000</v>
      </c>
      <c r="F443" s="175">
        <f t="shared" si="35"/>
        <v>0</v>
      </c>
      <c r="G443" s="167">
        <f t="shared" si="35"/>
        <v>984000</v>
      </c>
      <c r="H443" s="101" t="e">
        <f t="shared" si="34"/>
        <v>#VALUE!</v>
      </c>
      <c r="I443" s="101">
        <f t="shared" si="38"/>
        <v>-984000</v>
      </c>
      <c r="J443" s="101">
        <f t="shared" si="34"/>
        <v>-100</v>
      </c>
    </row>
    <row r="444" spans="1:10" ht="20.100000000000001" hidden="1" customHeight="1">
      <c r="A444" s="180"/>
      <c r="B444" s="102" t="s">
        <v>1323</v>
      </c>
      <c r="C444" s="103" t="s">
        <v>193</v>
      </c>
      <c r="D444" s="104"/>
      <c r="E444" s="104">
        <v>53550000</v>
      </c>
      <c r="F444" s="175">
        <f t="shared" si="35"/>
        <v>-53550000</v>
      </c>
      <c r="G444" s="167">
        <f t="shared" si="35"/>
        <v>107100000</v>
      </c>
      <c r="H444" s="101" t="e">
        <f t="shared" si="34"/>
        <v>#VALUE!</v>
      </c>
      <c r="I444" s="101">
        <f t="shared" si="38"/>
        <v>-160650000</v>
      </c>
      <c r="J444" s="101">
        <f t="shared" si="34"/>
        <v>-300</v>
      </c>
    </row>
    <row r="445" spans="1:10" ht="20.100000000000001" hidden="1" customHeight="1">
      <c r="A445" s="180"/>
      <c r="B445" s="102" t="s">
        <v>1324</v>
      </c>
      <c r="C445" s="103" t="s">
        <v>195</v>
      </c>
      <c r="D445" s="104">
        <v>53550000</v>
      </c>
      <c r="E445" s="104">
        <v>53550000</v>
      </c>
      <c r="F445" s="175">
        <f t="shared" si="35"/>
        <v>0</v>
      </c>
      <c r="G445" s="167">
        <f t="shared" si="35"/>
        <v>53550000</v>
      </c>
      <c r="H445" s="101" t="e">
        <f t="shared" si="34"/>
        <v>#VALUE!</v>
      </c>
      <c r="I445" s="101">
        <f t="shared" si="38"/>
        <v>-53550000</v>
      </c>
      <c r="J445" s="101">
        <f t="shared" si="34"/>
        <v>-100</v>
      </c>
    </row>
    <row r="446" spans="1:10" ht="20.100000000000001" hidden="1" customHeight="1">
      <c r="A446" s="180"/>
      <c r="B446" s="102" t="s">
        <v>1325</v>
      </c>
      <c r="C446" s="103" t="s">
        <v>157</v>
      </c>
      <c r="D446" s="104"/>
      <c r="E446" s="104">
        <v>9000000</v>
      </c>
      <c r="F446" s="175">
        <f t="shared" si="35"/>
        <v>-9000000</v>
      </c>
      <c r="G446" s="167">
        <f t="shared" si="35"/>
        <v>18000000</v>
      </c>
      <c r="H446" s="101" t="e">
        <f t="shared" si="34"/>
        <v>#VALUE!</v>
      </c>
      <c r="I446" s="101">
        <f t="shared" si="38"/>
        <v>-27000000</v>
      </c>
      <c r="J446" s="101">
        <f t="shared" si="34"/>
        <v>-300</v>
      </c>
    </row>
    <row r="447" spans="1:10" ht="20.100000000000001" hidden="1" customHeight="1">
      <c r="A447" s="180"/>
      <c r="B447" s="102" t="s">
        <v>1326</v>
      </c>
      <c r="C447" s="103" t="s">
        <v>159</v>
      </c>
      <c r="D447" s="104">
        <v>3550000</v>
      </c>
      <c r="E447" s="104">
        <v>3550000</v>
      </c>
      <c r="F447" s="175">
        <f t="shared" si="35"/>
        <v>0</v>
      </c>
      <c r="G447" s="167">
        <f t="shared" si="35"/>
        <v>3550000</v>
      </c>
      <c r="H447" s="101" t="e">
        <f t="shared" si="34"/>
        <v>#VALUE!</v>
      </c>
      <c r="I447" s="101">
        <f t="shared" si="38"/>
        <v>-3550000</v>
      </c>
      <c r="J447" s="101">
        <f t="shared" si="34"/>
        <v>-100</v>
      </c>
    </row>
    <row r="448" spans="1:10" ht="20.100000000000001" hidden="1" customHeight="1">
      <c r="A448" s="180"/>
      <c r="B448" s="102" t="s">
        <v>1327</v>
      </c>
      <c r="C448" s="103" t="s">
        <v>207</v>
      </c>
      <c r="D448" s="104">
        <v>5450000</v>
      </c>
      <c r="E448" s="104">
        <v>5450000</v>
      </c>
      <c r="F448" s="175">
        <f t="shared" si="35"/>
        <v>0</v>
      </c>
      <c r="G448" s="167">
        <f t="shared" si="35"/>
        <v>5450000</v>
      </c>
      <c r="H448" s="101" t="e">
        <f t="shared" si="34"/>
        <v>#VALUE!</v>
      </c>
      <c r="I448" s="101">
        <f t="shared" si="38"/>
        <v>-5450000</v>
      </c>
      <c r="J448" s="101">
        <f t="shared" si="34"/>
        <v>-100</v>
      </c>
    </row>
    <row r="449" spans="1:10" ht="20.100000000000001" customHeight="1">
      <c r="A449" s="178">
        <v>28</v>
      </c>
      <c r="B449" s="193" t="s">
        <v>1328</v>
      </c>
      <c r="C449" s="195" t="s">
        <v>32</v>
      </c>
      <c r="D449" s="197">
        <f>SUM(D451:D467)</f>
        <v>37279000</v>
      </c>
      <c r="E449" s="197">
        <f>'rekap REALISASI REKO '!AB529</f>
        <v>42500000</v>
      </c>
      <c r="F449" s="199">
        <f>D449-E449</f>
        <v>-5221000</v>
      </c>
      <c r="G449" s="201">
        <f>'rekap REALISASI REKO '!AQ529</f>
        <v>42484930</v>
      </c>
      <c r="H449" s="214">
        <f>G449/E449*100</f>
        <v>99.96454117647059</v>
      </c>
      <c r="I449" s="214">
        <f>E449-G449</f>
        <v>15070</v>
      </c>
      <c r="J449" s="214">
        <f>I449/E449*100</f>
        <v>3.5458823529411765E-2</v>
      </c>
    </row>
    <row r="450" spans="1:10" ht="4.5" customHeight="1">
      <c r="A450" s="179"/>
      <c r="B450" s="194"/>
      <c r="C450" s="196"/>
      <c r="D450" s="198"/>
      <c r="E450" s="198"/>
      <c r="F450" s="200"/>
      <c r="G450" s="202"/>
      <c r="H450" s="215"/>
      <c r="I450" s="215"/>
      <c r="J450" s="215"/>
    </row>
    <row r="451" spans="1:10" ht="20.100000000000001" hidden="1" customHeight="1">
      <c r="A451" s="180"/>
      <c r="B451" s="102" t="s">
        <v>1329</v>
      </c>
      <c r="C451" s="103" t="s">
        <v>10</v>
      </c>
      <c r="D451" s="104"/>
      <c r="E451" s="104">
        <v>11080000</v>
      </c>
      <c r="F451" s="175">
        <f t="shared" si="35"/>
        <v>-11080000</v>
      </c>
      <c r="G451" s="167">
        <f t="shared" si="35"/>
        <v>22160000</v>
      </c>
      <c r="H451" s="101" t="e">
        <f t="shared" si="34"/>
        <v>#VALUE!</v>
      </c>
      <c r="I451" s="101">
        <f t="shared" ref="I451:I467" si="39">F451-G451</f>
        <v>-33240000</v>
      </c>
      <c r="J451" s="101">
        <f t="shared" si="34"/>
        <v>-300</v>
      </c>
    </row>
    <row r="452" spans="1:10" ht="20.100000000000001" hidden="1" customHeight="1">
      <c r="A452" s="180"/>
      <c r="B452" s="102" t="s">
        <v>1330</v>
      </c>
      <c r="C452" s="103" t="s">
        <v>177</v>
      </c>
      <c r="D452" s="104"/>
      <c r="E452" s="104">
        <v>2680000</v>
      </c>
      <c r="F452" s="175">
        <f t="shared" si="35"/>
        <v>-2680000</v>
      </c>
      <c r="G452" s="167">
        <f t="shared" si="35"/>
        <v>5360000</v>
      </c>
      <c r="H452" s="101" t="e">
        <f t="shared" si="34"/>
        <v>#VALUE!</v>
      </c>
      <c r="I452" s="101">
        <f t="shared" si="39"/>
        <v>-8040000</v>
      </c>
      <c r="J452" s="101">
        <f t="shared" si="34"/>
        <v>-300</v>
      </c>
    </row>
    <row r="453" spans="1:10" ht="20.100000000000001" hidden="1" customHeight="1">
      <c r="A453" s="180"/>
      <c r="B453" s="102" t="s">
        <v>1331</v>
      </c>
      <c r="C453" s="103" t="s">
        <v>283</v>
      </c>
      <c r="D453" s="104">
        <v>2680000</v>
      </c>
      <c r="E453" s="104">
        <v>2680000</v>
      </c>
      <c r="F453" s="175">
        <f t="shared" si="35"/>
        <v>0</v>
      </c>
      <c r="G453" s="167">
        <f t="shared" si="35"/>
        <v>2680000</v>
      </c>
      <c r="H453" s="101" t="e">
        <f t="shared" si="34"/>
        <v>#VALUE!</v>
      </c>
      <c r="I453" s="101">
        <f t="shared" si="39"/>
        <v>-2680000</v>
      </c>
      <c r="J453" s="101">
        <f t="shared" si="34"/>
        <v>-100</v>
      </c>
    </row>
    <row r="454" spans="1:10" ht="20.100000000000001" hidden="1" customHeight="1">
      <c r="A454" s="180"/>
      <c r="B454" s="102" t="s">
        <v>1332</v>
      </c>
      <c r="C454" s="103" t="s">
        <v>341</v>
      </c>
      <c r="D454" s="104"/>
      <c r="E454" s="104">
        <v>8400000</v>
      </c>
      <c r="F454" s="175">
        <f t="shared" si="35"/>
        <v>-8400000</v>
      </c>
      <c r="G454" s="167">
        <f t="shared" si="35"/>
        <v>16800000</v>
      </c>
      <c r="H454" s="101" t="e">
        <f t="shared" si="34"/>
        <v>#VALUE!</v>
      </c>
      <c r="I454" s="101">
        <f t="shared" si="39"/>
        <v>-25200000</v>
      </c>
      <c r="J454" s="101">
        <f t="shared" si="34"/>
        <v>-300</v>
      </c>
    </row>
    <row r="455" spans="1:10" ht="20.100000000000001" hidden="1" customHeight="1">
      <c r="A455" s="180"/>
      <c r="B455" s="102" t="s">
        <v>1333</v>
      </c>
      <c r="C455" s="103" t="s">
        <v>283</v>
      </c>
      <c r="D455" s="104">
        <v>8400000</v>
      </c>
      <c r="E455" s="104">
        <v>8400000</v>
      </c>
      <c r="F455" s="175">
        <f t="shared" si="35"/>
        <v>0</v>
      </c>
      <c r="G455" s="167">
        <f t="shared" si="35"/>
        <v>8400000</v>
      </c>
      <c r="H455" s="101" t="e">
        <f t="shared" si="34"/>
        <v>#VALUE!</v>
      </c>
      <c r="I455" s="101">
        <f t="shared" si="39"/>
        <v>-8400000</v>
      </c>
      <c r="J455" s="101">
        <f t="shared" si="34"/>
        <v>-100</v>
      </c>
    </row>
    <row r="456" spans="1:10" ht="20.100000000000001" hidden="1" customHeight="1">
      <c r="A456" s="180"/>
      <c r="B456" s="102" t="s">
        <v>1334</v>
      </c>
      <c r="C456" s="103" t="s">
        <v>143</v>
      </c>
      <c r="D456" s="104"/>
      <c r="E456" s="104">
        <v>26199000</v>
      </c>
      <c r="F456" s="175">
        <f t="shared" si="35"/>
        <v>-26199000</v>
      </c>
      <c r="G456" s="167">
        <f t="shared" si="35"/>
        <v>52398000</v>
      </c>
      <c r="H456" s="101" t="e">
        <f t="shared" si="34"/>
        <v>#VALUE!</v>
      </c>
      <c r="I456" s="101">
        <f t="shared" si="39"/>
        <v>-78597000</v>
      </c>
      <c r="J456" s="101">
        <f t="shared" si="34"/>
        <v>-300</v>
      </c>
    </row>
    <row r="457" spans="1:10" ht="20.100000000000001" hidden="1" customHeight="1">
      <c r="A457" s="180"/>
      <c r="B457" s="102" t="s">
        <v>1335</v>
      </c>
      <c r="C457" s="103" t="s">
        <v>145</v>
      </c>
      <c r="D457" s="104"/>
      <c r="E457" s="104">
        <v>1560000</v>
      </c>
      <c r="F457" s="175">
        <f t="shared" si="35"/>
        <v>-1560000</v>
      </c>
      <c r="G457" s="167">
        <f t="shared" si="35"/>
        <v>3120000</v>
      </c>
      <c r="H457" s="101" t="e">
        <f t="shared" si="34"/>
        <v>#VALUE!</v>
      </c>
      <c r="I457" s="101">
        <f t="shared" si="39"/>
        <v>-4680000</v>
      </c>
      <c r="J457" s="101">
        <f t="shared" si="34"/>
        <v>-300</v>
      </c>
    </row>
    <row r="458" spans="1:10" ht="20.100000000000001" hidden="1" customHeight="1">
      <c r="A458" s="180"/>
      <c r="B458" s="102" t="s">
        <v>1336</v>
      </c>
      <c r="C458" s="103" t="s">
        <v>147</v>
      </c>
      <c r="D458" s="104">
        <v>1560000</v>
      </c>
      <c r="E458" s="104">
        <v>1560000</v>
      </c>
      <c r="F458" s="175">
        <f t="shared" si="35"/>
        <v>0</v>
      </c>
      <c r="G458" s="167">
        <f t="shared" si="35"/>
        <v>1560000</v>
      </c>
      <c r="H458" s="101" t="e">
        <f t="shared" ref="H458:J521" si="40">G458/C458*100</f>
        <v>#VALUE!</v>
      </c>
      <c r="I458" s="101">
        <f t="shared" si="39"/>
        <v>-1560000</v>
      </c>
      <c r="J458" s="101">
        <f t="shared" si="40"/>
        <v>-100</v>
      </c>
    </row>
    <row r="459" spans="1:10" ht="20.100000000000001" hidden="1" customHeight="1">
      <c r="A459" s="180"/>
      <c r="B459" s="102" t="s">
        <v>1337</v>
      </c>
      <c r="C459" s="103" t="s">
        <v>163</v>
      </c>
      <c r="D459" s="104"/>
      <c r="E459" s="104">
        <v>8000000</v>
      </c>
      <c r="F459" s="175">
        <f t="shared" ref="F459:G522" si="41">D459-E459</f>
        <v>-8000000</v>
      </c>
      <c r="G459" s="167">
        <f t="shared" si="41"/>
        <v>16000000</v>
      </c>
      <c r="H459" s="101" t="e">
        <f t="shared" si="40"/>
        <v>#VALUE!</v>
      </c>
      <c r="I459" s="101">
        <f t="shared" si="39"/>
        <v>-24000000</v>
      </c>
      <c r="J459" s="101">
        <f t="shared" si="40"/>
        <v>-300</v>
      </c>
    </row>
    <row r="460" spans="1:10" ht="20.100000000000001" hidden="1" customHeight="1">
      <c r="A460" s="180"/>
      <c r="B460" s="102" t="s">
        <v>1338</v>
      </c>
      <c r="C460" s="103" t="s">
        <v>352</v>
      </c>
      <c r="D460" s="104">
        <v>8000000</v>
      </c>
      <c r="E460" s="104">
        <v>8000000</v>
      </c>
      <c r="F460" s="175">
        <f t="shared" si="41"/>
        <v>0</v>
      </c>
      <c r="G460" s="167">
        <f t="shared" si="41"/>
        <v>8000000</v>
      </c>
      <c r="H460" s="101" t="e">
        <f t="shared" si="40"/>
        <v>#VALUE!</v>
      </c>
      <c r="I460" s="101">
        <f t="shared" si="39"/>
        <v>-8000000</v>
      </c>
      <c r="J460" s="101">
        <f t="shared" si="40"/>
        <v>-100</v>
      </c>
    </row>
    <row r="461" spans="1:10" ht="20.100000000000001" hidden="1" customHeight="1">
      <c r="A461" s="180"/>
      <c r="B461" s="102" t="s">
        <v>1339</v>
      </c>
      <c r="C461" s="103" t="s">
        <v>151</v>
      </c>
      <c r="D461" s="104"/>
      <c r="E461" s="104">
        <v>1400000</v>
      </c>
      <c r="F461" s="175">
        <f t="shared" si="41"/>
        <v>-1400000</v>
      </c>
      <c r="G461" s="167">
        <f t="shared" si="41"/>
        <v>2800000</v>
      </c>
      <c r="H461" s="101" t="e">
        <f t="shared" si="40"/>
        <v>#VALUE!</v>
      </c>
      <c r="I461" s="101">
        <f t="shared" si="39"/>
        <v>-4200000</v>
      </c>
      <c r="J461" s="101">
        <f t="shared" si="40"/>
        <v>-300</v>
      </c>
    </row>
    <row r="462" spans="1:10" ht="20.100000000000001" hidden="1" customHeight="1">
      <c r="A462" s="180"/>
      <c r="B462" s="102" t="s">
        <v>1340</v>
      </c>
      <c r="C462" s="103" t="s">
        <v>155</v>
      </c>
      <c r="D462" s="104">
        <v>1400000</v>
      </c>
      <c r="E462" s="104">
        <v>1400000</v>
      </c>
      <c r="F462" s="175">
        <f t="shared" si="41"/>
        <v>0</v>
      </c>
      <c r="G462" s="167">
        <f t="shared" si="41"/>
        <v>1400000</v>
      </c>
      <c r="H462" s="101" t="e">
        <f t="shared" si="40"/>
        <v>#VALUE!</v>
      </c>
      <c r="I462" s="101">
        <f t="shared" si="39"/>
        <v>-1400000</v>
      </c>
      <c r="J462" s="101">
        <f t="shared" si="40"/>
        <v>-100</v>
      </c>
    </row>
    <row r="463" spans="1:10" ht="20.100000000000001" hidden="1" customHeight="1">
      <c r="A463" s="180"/>
      <c r="B463" s="102" t="s">
        <v>1341</v>
      </c>
      <c r="C463" s="103" t="s">
        <v>193</v>
      </c>
      <c r="D463" s="104"/>
      <c r="E463" s="104">
        <v>9639000</v>
      </c>
      <c r="F463" s="175">
        <f t="shared" si="41"/>
        <v>-9639000</v>
      </c>
      <c r="G463" s="167">
        <f t="shared" si="41"/>
        <v>19278000</v>
      </c>
      <c r="H463" s="101" t="e">
        <f t="shared" si="40"/>
        <v>#VALUE!</v>
      </c>
      <c r="I463" s="101">
        <f t="shared" si="39"/>
        <v>-28917000</v>
      </c>
      <c r="J463" s="101">
        <f t="shared" si="40"/>
        <v>-300</v>
      </c>
    </row>
    <row r="464" spans="1:10" ht="20.100000000000001" hidden="1" customHeight="1">
      <c r="A464" s="180"/>
      <c r="B464" s="102" t="s">
        <v>1342</v>
      </c>
      <c r="C464" s="103" t="s">
        <v>195</v>
      </c>
      <c r="D464" s="104">
        <v>9639000</v>
      </c>
      <c r="E464" s="104">
        <v>9639000</v>
      </c>
      <c r="F464" s="175">
        <f t="shared" si="41"/>
        <v>0</v>
      </c>
      <c r="G464" s="167">
        <f t="shared" si="41"/>
        <v>9639000</v>
      </c>
      <c r="H464" s="101" t="e">
        <f t="shared" si="40"/>
        <v>#VALUE!</v>
      </c>
      <c r="I464" s="101">
        <f t="shared" si="39"/>
        <v>-9639000</v>
      </c>
      <c r="J464" s="101">
        <f t="shared" si="40"/>
        <v>-100</v>
      </c>
    </row>
    <row r="465" spans="1:10" ht="20.100000000000001" hidden="1" customHeight="1">
      <c r="A465" s="180"/>
      <c r="B465" s="102" t="s">
        <v>1343</v>
      </c>
      <c r="C465" s="103" t="s">
        <v>157</v>
      </c>
      <c r="D465" s="104"/>
      <c r="E465" s="104">
        <v>5600000</v>
      </c>
      <c r="F465" s="175">
        <f t="shared" si="41"/>
        <v>-5600000</v>
      </c>
      <c r="G465" s="167">
        <f t="shared" si="41"/>
        <v>11200000</v>
      </c>
      <c r="H465" s="101" t="e">
        <f t="shared" si="40"/>
        <v>#VALUE!</v>
      </c>
      <c r="I465" s="101">
        <f t="shared" si="39"/>
        <v>-16800000</v>
      </c>
      <c r="J465" s="101">
        <f t="shared" si="40"/>
        <v>-300</v>
      </c>
    </row>
    <row r="466" spans="1:10" ht="20.100000000000001" hidden="1" customHeight="1">
      <c r="A466" s="180"/>
      <c r="B466" s="102" t="s">
        <v>1344</v>
      </c>
      <c r="C466" s="103" t="s">
        <v>159</v>
      </c>
      <c r="D466" s="104">
        <v>3350000</v>
      </c>
      <c r="E466" s="104">
        <v>3350000</v>
      </c>
      <c r="F466" s="175">
        <f t="shared" si="41"/>
        <v>0</v>
      </c>
      <c r="G466" s="167">
        <f t="shared" si="41"/>
        <v>3350000</v>
      </c>
      <c r="H466" s="101" t="e">
        <f t="shared" si="40"/>
        <v>#VALUE!</v>
      </c>
      <c r="I466" s="101">
        <f t="shared" si="39"/>
        <v>-3350000</v>
      </c>
      <c r="J466" s="101">
        <f t="shared" si="40"/>
        <v>-100</v>
      </c>
    </row>
    <row r="467" spans="1:10" ht="20.100000000000001" hidden="1" customHeight="1">
      <c r="A467" s="180"/>
      <c r="B467" s="102" t="s">
        <v>1345</v>
      </c>
      <c r="C467" s="103" t="s">
        <v>207</v>
      </c>
      <c r="D467" s="104">
        <v>2250000</v>
      </c>
      <c r="E467" s="104">
        <v>2250000</v>
      </c>
      <c r="F467" s="175">
        <f t="shared" si="41"/>
        <v>0</v>
      </c>
      <c r="G467" s="167">
        <f t="shared" si="41"/>
        <v>2250000</v>
      </c>
      <c r="H467" s="101" t="e">
        <f t="shared" si="40"/>
        <v>#VALUE!</v>
      </c>
      <c r="I467" s="101">
        <f t="shared" si="39"/>
        <v>-2250000</v>
      </c>
      <c r="J467" s="101">
        <f t="shared" si="40"/>
        <v>-100</v>
      </c>
    </row>
    <row r="468" spans="1:10" ht="20.100000000000001" customHeight="1">
      <c r="A468" s="176" t="s">
        <v>481</v>
      </c>
      <c r="B468" s="106" t="s">
        <v>1346</v>
      </c>
      <c r="C468" s="107" t="s">
        <v>460</v>
      </c>
      <c r="D468" s="108">
        <f>D469</f>
        <v>71322000</v>
      </c>
      <c r="E468" s="108">
        <f>E469</f>
        <v>50000000</v>
      </c>
      <c r="F468" s="177">
        <f t="shared" si="41"/>
        <v>21322000</v>
      </c>
      <c r="G468" s="169">
        <f>G469</f>
        <v>47062900</v>
      </c>
      <c r="H468" s="110">
        <f>G468/E468*100</f>
        <v>94.125799999999998</v>
      </c>
      <c r="I468" s="109">
        <f>I469</f>
        <v>2937100</v>
      </c>
      <c r="J468" s="110">
        <f t="shared" si="40"/>
        <v>5.8742000000000001</v>
      </c>
    </row>
    <row r="469" spans="1:10" ht="20.100000000000001" customHeight="1">
      <c r="A469" s="178">
        <v>29</v>
      </c>
      <c r="B469" s="193" t="s">
        <v>1347</v>
      </c>
      <c r="C469" s="195" t="s">
        <v>462</v>
      </c>
      <c r="D469" s="197">
        <f>SUM(D471:D489)</f>
        <v>71322000</v>
      </c>
      <c r="E469" s="197">
        <v>50000000</v>
      </c>
      <c r="F469" s="199">
        <f>D469-E469</f>
        <v>21322000</v>
      </c>
      <c r="G469" s="201">
        <f>'rekap REALISASI REKO '!AQ271</f>
        <v>47062900</v>
      </c>
      <c r="H469" s="214">
        <f>G469/E469*100</f>
        <v>94.125799999999998</v>
      </c>
      <c r="I469" s="214">
        <f>E469-G469</f>
        <v>2937100</v>
      </c>
      <c r="J469" s="214">
        <f>I469/E469*100</f>
        <v>5.8742000000000001</v>
      </c>
    </row>
    <row r="470" spans="1:10" ht="9" customHeight="1">
      <c r="A470" s="179"/>
      <c r="B470" s="194"/>
      <c r="C470" s="196"/>
      <c r="D470" s="198"/>
      <c r="E470" s="198"/>
      <c r="F470" s="200"/>
      <c r="G470" s="202"/>
      <c r="H470" s="215"/>
      <c r="I470" s="215"/>
      <c r="J470" s="215"/>
    </row>
    <row r="471" spans="1:10" ht="20.100000000000001" hidden="1" customHeight="1">
      <c r="A471" s="180"/>
      <c r="B471" s="102" t="s">
        <v>1348</v>
      </c>
      <c r="C471" s="103" t="s">
        <v>10</v>
      </c>
      <c r="D471" s="104"/>
      <c r="E471" s="104">
        <v>1720000</v>
      </c>
      <c r="F471" s="175">
        <f t="shared" si="41"/>
        <v>-1720000</v>
      </c>
      <c r="G471" s="167">
        <f t="shared" si="41"/>
        <v>3440000</v>
      </c>
      <c r="H471" s="101" t="e">
        <f t="shared" si="40"/>
        <v>#VALUE!</v>
      </c>
      <c r="I471" s="101">
        <f t="shared" ref="I471:I489" si="42">F471-G471</f>
        <v>-5160000</v>
      </c>
      <c r="J471" s="101">
        <f t="shared" si="40"/>
        <v>-300</v>
      </c>
    </row>
    <row r="472" spans="1:10" ht="20.100000000000001" hidden="1" customHeight="1">
      <c r="A472" s="180"/>
      <c r="B472" s="102" t="s">
        <v>1349</v>
      </c>
      <c r="C472" s="103" t="s">
        <v>177</v>
      </c>
      <c r="D472" s="104"/>
      <c r="E472" s="104">
        <v>1720000</v>
      </c>
      <c r="F472" s="175">
        <f t="shared" si="41"/>
        <v>-1720000</v>
      </c>
      <c r="G472" s="167">
        <f t="shared" si="41"/>
        <v>3440000</v>
      </c>
      <c r="H472" s="101" t="e">
        <f t="shared" si="40"/>
        <v>#VALUE!</v>
      </c>
      <c r="I472" s="101">
        <f t="shared" si="42"/>
        <v>-5160000</v>
      </c>
      <c r="J472" s="101">
        <f t="shared" si="40"/>
        <v>-300</v>
      </c>
    </row>
    <row r="473" spans="1:10" ht="20.100000000000001" hidden="1" customHeight="1">
      <c r="A473" s="180"/>
      <c r="B473" s="102" t="s">
        <v>1350</v>
      </c>
      <c r="C473" s="103" t="s">
        <v>283</v>
      </c>
      <c r="D473" s="104">
        <v>1720000</v>
      </c>
      <c r="E473" s="104">
        <v>1720000</v>
      </c>
      <c r="F473" s="175">
        <f t="shared" si="41"/>
        <v>0</v>
      </c>
      <c r="G473" s="167">
        <f t="shared" si="41"/>
        <v>1720000</v>
      </c>
      <c r="H473" s="101" t="e">
        <f t="shared" si="40"/>
        <v>#VALUE!</v>
      </c>
      <c r="I473" s="101">
        <f t="shared" si="42"/>
        <v>-1720000</v>
      </c>
      <c r="J473" s="101">
        <f t="shared" si="40"/>
        <v>-100</v>
      </c>
    </row>
    <row r="474" spans="1:10" ht="20.100000000000001" hidden="1" customHeight="1">
      <c r="A474" s="180"/>
      <c r="B474" s="102" t="s">
        <v>1351</v>
      </c>
      <c r="C474" s="103" t="s">
        <v>143</v>
      </c>
      <c r="D474" s="104"/>
      <c r="E474" s="104">
        <v>69602000</v>
      </c>
      <c r="F474" s="175">
        <f t="shared" si="41"/>
        <v>-69602000</v>
      </c>
      <c r="G474" s="167">
        <f t="shared" si="41"/>
        <v>139204000</v>
      </c>
      <c r="H474" s="101" t="e">
        <f t="shared" si="40"/>
        <v>#VALUE!</v>
      </c>
      <c r="I474" s="101">
        <f t="shared" si="42"/>
        <v>-208806000</v>
      </c>
      <c r="J474" s="101">
        <f t="shared" si="40"/>
        <v>-300</v>
      </c>
    </row>
    <row r="475" spans="1:10" ht="20.100000000000001" hidden="1" customHeight="1">
      <c r="A475" s="180"/>
      <c r="B475" s="102" t="s">
        <v>1352</v>
      </c>
      <c r="C475" s="103" t="s">
        <v>145</v>
      </c>
      <c r="D475" s="104"/>
      <c r="E475" s="104">
        <v>1804000</v>
      </c>
      <c r="F475" s="175">
        <f t="shared" si="41"/>
        <v>-1804000</v>
      </c>
      <c r="G475" s="167">
        <f t="shared" si="41"/>
        <v>3608000</v>
      </c>
      <c r="H475" s="101" t="e">
        <f t="shared" si="40"/>
        <v>#VALUE!</v>
      </c>
      <c r="I475" s="101">
        <f t="shared" si="42"/>
        <v>-5412000</v>
      </c>
      <c r="J475" s="101">
        <f t="shared" si="40"/>
        <v>-300</v>
      </c>
    </row>
    <row r="476" spans="1:10" ht="20.100000000000001" hidden="1" customHeight="1">
      <c r="A476" s="180"/>
      <c r="B476" s="102" t="s">
        <v>1353</v>
      </c>
      <c r="C476" s="103" t="s">
        <v>147</v>
      </c>
      <c r="D476" s="104">
        <v>1804000</v>
      </c>
      <c r="E476" s="104">
        <v>1804000</v>
      </c>
      <c r="F476" s="175">
        <f t="shared" si="41"/>
        <v>0</v>
      </c>
      <c r="G476" s="167">
        <f t="shared" si="41"/>
        <v>1804000</v>
      </c>
      <c r="H476" s="101" t="e">
        <f t="shared" si="40"/>
        <v>#VALUE!</v>
      </c>
      <c r="I476" s="101">
        <f t="shared" si="42"/>
        <v>-1804000</v>
      </c>
      <c r="J476" s="101">
        <f t="shared" si="40"/>
        <v>-100</v>
      </c>
    </row>
    <row r="477" spans="1:10" ht="20.100000000000001" hidden="1" customHeight="1">
      <c r="A477" s="180"/>
      <c r="B477" s="102" t="s">
        <v>1354</v>
      </c>
      <c r="C477" s="103" t="s">
        <v>163</v>
      </c>
      <c r="D477" s="104"/>
      <c r="E477" s="104">
        <v>47750000</v>
      </c>
      <c r="F477" s="175">
        <f t="shared" si="41"/>
        <v>-47750000</v>
      </c>
      <c r="G477" s="167">
        <f t="shared" si="41"/>
        <v>95500000</v>
      </c>
      <c r="H477" s="101" t="e">
        <f t="shared" si="40"/>
        <v>#VALUE!</v>
      </c>
      <c r="I477" s="101">
        <f t="shared" si="42"/>
        <v>-143250000</v>
      </c>
      <c r="J477" s="101">
        <f t="shared" si="40"/>
        <v>-300</v>
      </c>
    </row>
    <row r="478" spans="1:10" ht="20.100000000000001" hidden="1" customHeight="1">
      <c r="A478" s="180"/>
      <c r="B478" s="102" t="s">
        <v>1355</v>
      </c>
      <c r="C478" s="103" t="s">
        <v>447</v>
      </c>
      <c r="D478" s="104">
        <v>42000000</v>
      </c>
      <c r="E478" s="104">
        <v>42000000</v>
      </c>
      <c r="F478" s="175">
        <f t="shared" si="41"/>
        <v>0</v>
      </c>
      <c r="G478" s="167">
        <f t="shared" si="41"/>
        <v>42000000</v>
      </c>
      <c r="H478" s="101" t="e">
        <f t="shared" si="40"/>
        <v>#VALUE!</v>
      </c>
      <c r="I478" s="101">
        <f t="shared" si="42"/>
        <v>-42000000</v>
      </c>
      <c r="J478" s="101">
        <f t="shared" si="40"/>
        <v>-100</v>
      </c>
    </row>
    <row r="479" spans="1:10" ht="20.100000000000001" hidden="1" customHeight="1">
      <c r="A479" s="180"/>
      <c r="B479" s="102" t="s">
        <v>1356</v>
      </c>
      <c r="C479" s="103" t="s">
        <v>352</v>
      </c>
      <c r="D479" s="104">
        <v>3250000</v>
      </c>
      <c r="E479" s="104">
        <v>3250000</v>
      </c>
      <c r="F479" s="175">
        <f t="shared" si="41"/>
        <v>0</v>
      </c>
      <c r="G479" s="167">
        <f t="shared" si="41"/>
        <v>3250000</v>
      </c>
      <c r="H479" s="101" t="e">
        <f t="shared" si="40"/>
        <v>#VALUE!</v>
      </c>
      <c r="I479" s="101">
        <f t="shared" si="42"/>
        <v>-3250000</v>
      </c>
      <c r="J479" s="101">
        <f t="shared" si="40"/>
        <v>-100</v>
      </c>
    </row>
    <row r="480" spans="1:10" ht="20.100000000000001" hidden="1" customHeight="1">
      <c r="A480" s="180"/>
      <c r="B480" s="102" t="s">
        <v>1357</v>
      </c>
      <c r="C480" s="103" t="s">
        <v>1358</v>
      </c>
      <c r="D480" s="104">
        <v>2500000</v>
      </c>
      <c r="E480" s="104">
        <v>2500000</v>
      </c>
      <c r="F480" s="175">
        <f t="shared" si="41"/>
        <v>0</v>
      </c>
      <c r="G480" s="167">
        <f t="shared" si="41"/>
        <v>2500000</v>
      </c>
      <c r="H480" s="101" t="e">
        <f t="shared" si="40"/>
        <v>#VALUE!</v>
      </c>
      <c r="I480" s="101">
        <f t="shared" si="42"/>
        <v>-2500000</v>
      </c>
      <c r="J480" s="101">
        <f t="shared" si="40"/>
        <v>-100</v>
      </c>
    </row>
    <row r="481" spans="1:10" ht="20.100000000000001" hidden="1" customHeight="1">
      <c r="A481" s="180"/>
      <c r="B481" s="102" t="s">
        <v>1359</v>
      </c>
      <c r="C481" s="103" t="s">
        <v>151</v>
      </c>
      <c r="D481" s="104"/>
      <c r="E481" s="104">
        <v>575000</v>
      </c>
      <c r="F481" s="175">
        <f t="shared" si="41"/>
        <v>-575000</v>
      </c>
      <c r="G481" s="167">
        <f t="shared" si="41"/>
        <v>1150000</v>
      </c>
      <c r="H481" s="101" t="e">
        <f t="shared" si="40"/>
        <v>#VALUE!</v>
      </c>
      <c r="I481" s="101">
        <f t="shared" si="42"/>
        <v>-1725000</v>
      </c>
      <c r="J481" s="101">
        <f t="shared" si="40"/>
        <v>-300</v>
      </c>
    </row>
    <row r="482" spans="1:10" ht="20.100000000000001" hidden="1" customHeight="1">
      <c r="A482" s="180"/>
      <c r="B482" s="102" t="s">
        <v>1360</v>
      </c>
      <c r="C482" s="103" t="s">
        <v>155</v>
      </c>
      <c r="D482" s="104">
        <v>575000</v>
      </c>
      <c r="E482" s="104">
        <v>575000</v>
      </c>
      <c r="F482" s="175">
        <f t="shared" si="41"/>
        <v>0</v>
      </c>
      <c r="G482" s="167">
        <f t="shared" si="41"/>
        <v>575000</v>
      </c>
      <c r="H482" s="101" t="e">
        <f t="shared" si="40"/>
        <v>#VALUE!</v>
      </c>
      <c r="I482" s="101">
        <f t="shared" si="42"/>
        <v>-575000</v>
      </c>
      <c r="J482" s="101">
        <f t="shared" si="40"/>
        <v>-100</v>
      </c>
    </row>
    <row r="483" spans="1:10" ht="20.100000000000001" hidden="1" customHeight="1">
      <c r="A483" s="180"/>
      <c r="B483" s="102" t="s">
        <v>1361</v>
      </c>
      <c r="C483" s="103" t="s">
        <v>193</v>
      </c>
      <c r="D483" s="104"/>
      <c r="E483" s="104">
        <v>4083000</v>
      </c>
      <c r="F483" s="175">
        <f t="shared" si="41"/>
        <v>-4083000</v>
      </c>
      <c r="G483" s="167">
        <f t="shared" si="41"/>
        <v>8166000</v>
      </c>
      <c r="H483" s="101" t="e">
        <f t="shared" si="40"/>
        <v>#VALUE!</v>
      </c>
      <c r="I483" s="101">
        <f t="shared" si="42"/>
        <v>-12249000</v>
      </c>
      <c r="J483" s="101">
        <f t="shared" si="40"/>
        <v>-300</v>
      </c>
    </row>
    <row r="484" spans="1:10" ht="20.100000000000001" hidden="1" customHeight="1">
      <c r="A484" s="180"/>
      <c r="B484" s="102" t="s">
        <v>1362</v>
      </c>
      <c r="C484" s="103" t="s">
        <v>195</v>
      </c>
      <c r="D484" s="104">
        <v>4083000</v>
      </c>
      <c r="E484" s="104">
        <v>4083000</v>
      </c>
      <c r="F484" s="175">
        <f t="shared" si="41"/>
        <v>0</v>
      </c>
      <c r="G484" s="167">
        <f t="shared" si="41"/>
        <v>4083000</v>
      </c>
      <c r="H484" s="101" t="e">
        <f t="shared" si="40"/>
        <v>#VALUE!</v>
      </c>
      <c r="I484" s="101">
        <f t="shared" si="42"/>
        <v>-4083000</v>
      </c>
      <c r="J484" s="101">
        <f t="shared" si="40"/>
        <v>-100</v>
      </c>
    </row>
    <row r="485" spans="1:10" ht="20.100000000000001" hidden="1" customHeight="1">
      <c r="A485" s="180"/>
      <c r="B485" s="102" t="s">
        <v>1363</v>
      </c>
      <c r="C485" s="103" t="s">
        <v>157</v>
      </c>
      <c r="D485" s="104"/>
      <c r="E485" s="104">
        <v>8990000</v>
      </c>
      <c r="F485" s="175">
        <f t="shared" si="41"/>
        <v>-8990000</v>
      </c>
      <c r="G485" s="167">
        <f t="shared" si="41"/>
        <v>17980000</v>
      </c>
      <c r="H485" s="101" t="e">
        <f t="shared" si="40"/>
        <v>#VALUE!</v>
      </c>
      <c r="I485" s="101">
        <f t="shared" si="42"/>
        <v>-26970000</v>
      </c>
      <c r="J485" s="101">
        <f t="shared" si="40"/>
        <v>-300</v>
      </c>
    </row>
    <row r="486" spans="1:10" ht="20.100000000000001" hidden="1" customHeight="1">
      <c r="A486" s="180"/>
      <c r="B486" s="102" t="s">
        <v>1364</v>
      </c>
      <c r="C486" s="103" t="s">
        <v>159</v>
      </c>
      <c r="D486" s="104">
        <v>3690000</v>
      </c>
      <c r="E486" s="104">
        <v>3690000</v>
      </c>
      <c r="F486" s="175">
        <f t="shared" si="41"/>
        <v>0</v>
      </c>
      <c r="G486" s="167">
        <f t="shared" si="41"/>
        <v>3690000</v>
      </c>
      <c r="H486" s="101" t="e">
        <f t="shared" si="40"/>
        <v>#VALUE!</v>
      </c>
      <c r="I486" s="101">
        <f t="shared" si="42"/>
        <v>-3690000</v>
      </c>
      <c r="J486" s="101">
        <f t="shared" si="40"/>
        <v>-100</v>
      </c>
    </row>
    <row r="487" spans="1:10" ht="20.100000000000001" hidden="1" customHeight="1">
      <c r="A487" s="180"/>
      <c r="B487" s="102" t="s">
        <v>1365</v>
      </c>
      <c r="C487" s="103" t="s">
        <v>207</v>
      </c>
      <c r="D487" s="104">
        <v>5300000</v>
      </c>
      <c r="E487" s="104">
        <v>5300000</v>
      </c>
      <c r="F487" s="175">
        <f t="shared" si="41"/>
        <v>0</v>
      </c>
      <c r="G487" s="167">
        <f t="shared" si="41"/>
        <v>5300000</v>
      </c>
      <c r="H487" s="101" t="e">
        <f t="shared" si="40"/>
        <v>#VALUE!</v>
      </c>
      <c r="I487" s="101">
        <f t="shared" si="42"/>
        <v>-5300000</v>
      </c>
      <c r="J487" s="101">
        <f t="shared" si="40"/>
        <v>-100</v>
      </c>
    </row>
    <row r="488" spans="1:10" ht="20.100000000000001" hidden="1" customHeight="1">
      <c r="A488" s="180"/>
      <c r="B488" s="102" t="s">
        <v>1366</v>
      </c>
      <c r="C488" s="103" t="s">
        <v>402</v>
      </c>
      <c r="D488" s="104"/>
      <c r="E488" s="104">
        <v>6400000</v>
      </c>
      <c r="F488" s="175">
        <f t="shared" si="41"/>
        <v>-6400000</v>
      </c>
      <c r="G488" s="167">
        <f t="shared" si="41"/>
        <v>12800000</v>
      </c>
      <c r="H488" s="101" t="e">
        <f t="shared" si="40"/>
        <v>#VALUE!</v>
      </c>
      <c r="I488" s="101">
        <f t="shared" si="42"/>
        <v>-19200000</v>
      </c>
      <c r="J488" s="101">
        <f t="shared" si="40"/>
        <v>-300</v>
      </c>
    </row>
    <row r="489" spans="1:10" ht="20.100000000000001" hidden="1" customHeight="1">
      <c r="A489" s="180"/>
      <c r="B489" s="102" t="s">
        <v>1367</v>
      </c>
      <c r="C489" s="103" t="s">
        <v>404</v>
      </c>
      <c r="D489" s="104">
        <v>6400000</v>
      </c>
      <c r="E489" s="104">
        <v>6400000</v>
      </c>
      <c r="F489" s="175">
        <f t="shared" si="41"/>
        <v>0</v>
      </c>
      <c r="G489" s="167">
        <f t="shared" si="41"/>
        <v>6400000</v>
      </c>
      <c r="H489" s="101" t="e">
        <f t="shared" si="40"/>
        <v>#VALUE!</v>
      </c>
      <c r="I489" s="101">
        <f t="shared" si="42"/>
        <v>-6400000</v>
      </c>
      <c r="J489" s="101">
        <f t="shared" si="40"/>
        <v>-100</v>
      </c>
    </row>
    <row r="490" spans="1:10" ht="20.100000000000001" customHeight="1">
      <c r="A490" s="176" t="s">
        <v>598</v>
      </c>
      <c r="B490" s="106" t="s">
        <v>1368</v>
      </c>
      <c r="C490" s="107" t="s">
        <v>33</v>
      </c>
      <c r="D490" s="108">
        <f>D491</f>
        <v>106134000</v>
      </c>
      <c r="E490" s="108">
        <f>E491</f>
        <v>77606000</v>
      </c>
      <c r="F490" s="177">
        <f t="shared" si="41"/>
        <v>28528000</v>
      </c>
      <c r="G490" s="169">
        <f>G491</f>
        <v>74892735</v>
      </c>
      <c r="H490" s="110">
        <f>G490/E490*100</f>
        <v>96.503794809679661</v>
      </c>
      <c r="I490" s="109">
        <f>I491</f>
        <v>2713265</v>
      </c>
      <c r="J490" s="110">
        <f t="shared" si="40"/>
        <v>3.4962051903203362</v>
      </c>
    </row>
    <row r="491" spans="1:10" ht="20.100000000000001" customHeight="1">
      <c r="A491" s="178">
        <v>30</v>
      </c>
      <c r="B491" s="193" t="s">
        <v>1369</v>
      </c>
      <c r="C491" s="195" t="s">
        <v>601</v>
      </c>
      <c r="D491" s="197">
        <f>SUM(D493:D513)</f>
        <v>106134000</v>
      </c>
      <c r="E491" s="197">
        <f>'rekap REALISASI REKO '!AB417</f>
        <v>77606000</v>
      </c>
      <c r="F491" s="199">
        <f>D491-E491</f>
        <v>28528000</v>
      </c>
      <c r="G491" s="201">
        <f>'rekap REALISASI REKO '!AQ417</f>
        <v>74892735</v>
      </c>
      <c r="H491" s="214">
        <f>G491/E491*100</f>
        <v>96.503794809679661</v>
      </c>
      <c r="I491" s="214">
        <f>E491-G491</f>
        <v>2713265</v>
      </c>
      <c r="J491" s="214">
        <f>I491/E491*100</f>
        <v>3.4962051903203362</v>
      </c>
    </row>
    <row r="492" spans="1:10" ht="20.100000000000001" customHeight="1">
      <c r="A492" s="179"/>
      <c r="B492" s="194"/>
      <c r="C492" s="196"/>
      <c r="D492" s="198"/>
      <c r="E492" s="198"/>
      <c r="F492" s="200"/>
      <c r="G492" s="202"/>
      <c r="H492" s="215"/>
      <c r="I492" s="215"/>
      <c r="J492" s="215"/>
    </row>
    <row r="493" spans="1:10" ht="20.100000000000001" hidden="1" customHeight="1">
      <c r="A493" s="180"/>
      <c r="B493" s="102" t="s">
        <v>1370</v>
      </c>
      <c r="C493" s="103" t="s">
        <v>10</v>
      </c>
      <c r="D493" s="104"/>
      <c r="E493" s="104">
        <v>7650000</v>
      </c>
      <c r="F493" s="175">
        <f t="shared" si="41"/>
        <v>-7650000</v>
      </c>
      <c r="G493" s="167">
        <f t="shared" si="41"/>
        <v>15300000</v>
      </c>
      <c r="H493" s="101" t="e">
        <f t="shared" si="40"/>
        <v>#VALUE!</v>
      </c>
      <c r="I493" s="101">
        <f t="shared" ref="I493:I513" si="43">F493-G493</f>
        <v>-22950000</v>
      </c>
      <c r="J493" s="101">
        <f t="shared" si="40"/>
        <v>-300</v>
      </c>
    </row>
    <row r="494" spans="1:10" ht="20.100000000000001" hidden="1" customHeight="1">
      <c r="A494" s="180"/>
      <c r="B494" s="102" t="s">
        <v>1371</v>
      </c>
      <c r="C494" s="103" t="s">
        <v>177</v>
      </c>
      <c r="D494" s="104"/>
      <c r="E494" s="104">
        <v>7650000</v>
      </c>
      <c r="F494" s="175">
        <f t="shared" si="41"/>
        <v>-7650000</v>
      </c>
      <c r="G494" s="167">
        <f t="shared" si="41"/>
        <v>15300000</v>
      </c>
      <c r="H494" s="101" t="e">
        <f t="shared" si="40"/>
        <v>#VALUE!</v>
      </c>
      <c r="I494" s="101">
        <f t="shared" si="43"/>
        <v>-22950000</v>
      </c>
      <c r="J494" s="101">
        <f t="shared" si="40"/>
        <v>-300</v>
      </c>
    </row>
    <row r="495" spans="1:10" ht="20.100000000000001" hidden="1" customHeight="1">
      <c r="A495" s="180"/>
      <c r="B495" s="102" t="s">
        <v>1372</v>
      </c>
      <c r="C495" s="103" t="s">
        <v>283</v>
      </c>
      <c r="D495" s="104">
        <v>7650000</v>
      </c>
      <c r="E495" s="104">
        <v>7650000</v>
      </c>
      <c r="F495" s="175">
        <f t="shared" si="41"/>
        <v>0</v>
      </c>
      <c r="G495" s="167">
        <f t="shared" si="41"/>
        <v>7650000</v>
      </c>
      <c r="H495" s="101" t="e">
        <f t="shared" si="40"/>
        <v>#VALUE!</v>
      </c>
      <c r="I495" s="101">
        <f t="shared" si="43"/>
        <v>-7650000</v>
      </c>
      <c r="J495" s="101">
        <f t="shared" si="40"/>
        <v>-100</v>
      </c>
    </row>
    <row r="496" spans="1:10" ht="20.100000000000001" hidden="1" customHeight="1">
      <c r="A496" s="180"/>
      <c r="B496" s="102" t="s">
        <v>1373</v>
      </c>
      <c r="C496" s="103" t="s">
        <v>143</v>
      </c>
      <c r="D496" s="104"/>
      <c r="E496" s="104">
        <v>98484000</v>
      </c>
      <c r="F496" s="175">
        <f t="shared" si="41"/>
        <v>-98484000</v>
      </c>
      <c r="G496" s="167">
        <f t="shared" si="41"/>
        <v>196968000</v>
      </c>
      <c r="H496" s="101" t="e">
        <f t="shared" si="40"/>
        <v>#VALUE!</v>
      </c>
      <c r="I496" s="101">
        <f t="shared" si="43"/>
        <v>-295452000</v>
      </c>
      <c r="J496" s="101">
        <f t="shared" si="40"/>
        <v>-300</v>
      </c>
    </row>
    <row r="497" spans="1:10" ht="20.100000000000001" hidden="1" customHeight="1">
      <c r="A497" s="180"/>
      <c r="B497" s="102" t="s">
        <v>1374</v>
      </c>
      <c r="C497" s="103" t="s">
        <v>145</v>
      </c>
      <c r="D497" s="104"/>
      <c r="E497" s="104">
        <v>3861000</v>
      </c>
      <c r="F497" s="175">
        <f t="shared" si="41"/>
        <v>-3861000</v>
      </c>
      <c r="G497" s="167">
        <f t="shared" si="41"/>
        <v>7722000</v>
      </c>
      <c r="H497" s="101" t="e">
        <f t="shared" si="40"/>
        <v>#VALUE!</v>
      </c>
      <c r="I497" s="101">
        <f t="shared" si="43"/>
        <v>-11583000</v>
      </c>
      <c r="J497" s="101">
        <f t="shared" si="40"/>
        <v>-300</v>
      </c>
    </row>
    <row r="498" spans="1:10" ht="20.100000000000001" hidden="1" customHeight="1">
      <c r="A498" s="180"/>
      <c r="B498" s="102" t="s">
        <v>1375</v>
      </c>
      <c r="C498" s="103" t="s">
        <v>147</v>
      </c>
      <c r="D498" s="104">
        <v>3861000</v>
      </c>
      <c r="E498" s="104">
        <v>3861000</v>
      </c>
      <c r="F498" s="175">
        <f t="shared" si="41"/>
        <v>0</v>
      </c>
      <c r="G498" s="167">
        <f t="shared" si="41"/>
        <v>3861000</v>
      </c>
      <c r="H498" s="101" t="e">
        <f t="shared" si="40"/>
        <v>#VALUE!</v>
      </c>
      <c r="I498" s="101">
        <f t="shared" si="43"/>
        <v>-3861000</v>
      </c>
      <c r="J498" s="101">
        <f t="shared" si="40"/>
        <v>-100</v>
      </c>
    </row>
    <row r="499" spans="1:10" ht="20.100000000000001" hidden="1" customHeight="1">
      <c r="A499" s="180"/>
      <c r="B499" s="102" t="s">
        <v>1376</v>
      </c>
      <c r="C499" s="103" t="s">
        <v>389</v>
      </c>
      <c r="D499" s="104"/>
      <c r="E499" s="104">
        <v>2000000</v>
      </c>
      <c r="F499" s="175">
        <f t="shared" si="41"/>
        <v>-2000000</v>
      </c>
      <c r="G499" s="167">
        <f t="shared" si="41"/>
        <v>4000000</v>
      </c>
      <c r="H499" s="101" t="e">
        <f t="shared" si="40"/>
        <v>#VALUE!</v>
      </c>
      <c r="I499" s="101">
        <f t="shared" si="43"/>
        <v>-6000000</v>
      </c>
      <c r="J499" s="101">
        <f t="shared" si="40"/>
        <v>-300</v>
      </c>
    </row>
    <row r="500" spans="1:10" ht="20.100000000000001" hidden="1" customHeight="1">
      <c r="A500" s="180"/>
      <c r="B500" s="102" t="s">
        <v>1377</v>
      </c>
      <c r="C500" s="103" t="s">
        <v>391</v>
      </c>
      <c r="D500" s="104">
        <v>2000000</v>
      </c>
      <c r="E500" s="104">
        <v>2000000</v>
      </c>
      <c r="F500" s="175">
        <f t="shared" si="41"/>
        <v>0</v>
      </c>
      <c r="G500" s="167">
        <f t="shared" si="41"/>
        <v>2000000</v>
      </c>
      <c r="H500" s="101" t="e">
        <f t="shared" si="40"/>
        <v>#VALUE!</v>
      </c>
      <c r="I500" s="101">
        <f t="shared" si="43"/>
        <v>-2000000</v>
      </c>
      <c r="J500" s="101">
        <f t="shared" si="40"/>
        <v>-100</v>
      </c>
    </row>
    <row r="501" spans="1:10" ht="20.100000000000001" hidden="1" customHeight="1">
      <c r="A501" s="180"/>
      <c r="B501" s="102" t="s">
        <v>1378</v>
      </c>
      <c r="C501" s="103" t="s">
        <v>163</v>
      </c>
      <c r="D501" s="104"/>
      <c r="E501" s="104">
        <v>55860000</v>
      </c>
      <c r="F501" s="175">
        <f t="shared" si="41"/>
        <v>-55860000</v>
      </c>
      <c r="G501" s="167">
        <f t="shared" si="41"/>
        <v>111720000</v>
      </c>
      <c r="H501" s="101" t="e">
        <f t="shared" si="40"/>
        <v>#VALUE!</v>
      </c>
      <c r="I501" s="101">
        <f t="shared" si="43"/>
        <v>-167580000</v>
      </c>
      <c r="J501" s="101">
        <f t="shared" si="40"/>
        <v>-300</v>
      </c>
    </row>
    <row r="502" spans="1:10" ht="20.100000000000001" hidden="1" customHeight="1">
      <c r="A502" s="180"/>
      <c r="B502" s="102" t="s">
        <v>1379</v>
      </c>
      <c r="C502" s="103" t="s">
        <v>447</v>
      </c>
      <c r="D502" s="104">
        <v>48000000</v>
      </c>
      <c r="E502" s="104">
        <v>48000000</v>
      </c>
      <c r="F502" s="175">
        <f t="shared" si="41"/>
        <v>0</v>
      </c>
      <c r="G502" s="167">
        <f t="shared" si="41"/>
        <v>48000000</v>
      </c>
      <c r="H502" s="101" t="e">
        <f t="shared" si="40"/>
        <v>#VALUE!</v>
      </c>
      <c r="I502" s="101">
        <f t="shared" si="43"/>
        <v>-48000000</v>
      </c>
      <c r="J502" s="101">
        <f t="shared" si="40"/>
        <v>-100</v>
      </c>
    </row>
    <row r="503" spans="1:10" ht="20.100000000000001" hidden="1" customHeight="1">
      <c r="A503" s="180"/>
      <c r="B503" s="102" t="s">
        <v>1380</v>
      </c>
      <c r="C503" s="103" t="s">
        <v>349</v>
      </c>
      <c r="D503" s="104">
        <v>360000</v>
      </c>
      <c r="E503" s="104">
        <v>360000</v>
      </c>
      <c r="F503" s="175">
        <f t="shared" si="41"/>
        <v>0</v>
      </c>
      <c r="G503" s="167">
        <f t="shared" si="41"/>
        <v>360000</v>
      </c>
      <c r="H503" s="101" t="e">
        <f t="shared" si="40"/>
        <v>#VALUE!</v>
      </c>
      <c r="I503" s="101">
        <f t="shared" si="43"/>
        <v>-360000</v>
      </c>
      <c r="J503" s="101">
        <f t="shared" si="40"/>
        <v>-100</v>
      </c>
    </row>
    <row r="504" spans="1:10" ht="20.100000000000001" hidden="1" customHeight="1">
      <c r="A504" s="180"/>
      <c r="B504" s="102" t="s">
        <v>1381</v>
      </c>
      <c r="C504" s="103" t="s">
        <v>352</v>
      </c>
      <c r="D504" s="104">
        <v>7500000</v>
      </c>
      <c r="E504" s="104">
        <v>7500000</v>
      </c>
      <c r="F504" s="175">
        <f t="shared" si="41"/>
        <v>0</v>
      </c>
      <c r="G504" s="167">
        <f t="shared" si="41"/>
        <v>7500000</v>
      </c>
      <c r="H504" s="101" t="e">
        <f t="shared" si="40"/>
        <v>#VALUE!</v>
      </c>
      <c r="I504" s="101">
        <f t="shared" si="43"/>
        <v>-7500000</v>
      </c>
      <c r="J504" s="101">
        <f t="shared" si="40"/>
        <v>-100</v>
      </c>
    </row>
    <row r="505" spans="1:10" ht="20.100000000000001" hidden="1" customHeight="1">
      <c r="A505" s="180"/>
      <c r="B505" s="102" t="s">
        <v>1382</v>
      </c>
      <c r="C505" s="103" t="s">
        <v>151</v>
      </c>
      <c r="D505" s="104"/>
      <c r="E505" s="104">
        <v>943000</v>
      </c>
      <c r="F505" s="175">
        <f t="shared" si="41"/>
        <v>-943000</v>
      </c>
      <c r="G505" s="167">
        <f t="shared" si="41"/>
        <v>1886000</v>
      </c>
      <c r="H505" s="101" t="e">
        <f t="shared" si="40"/>
        <v>#VALUE!</v>
      </c>
      <c r="I505" s="101">
        <f t="shared" si="43"/>
        <v>-2829000</v>
      </c>
      <c r="J505" s="101">
        <f t="shared" si="40"/>
        <v>-300</v>
      </c>
    </row>
    <row r="506" spans="1:10" ht="20.100000000000001" hidden="1" customHeight="1">
      <c r="A506" s="180"/>
      <c r="B506" s="102" t="s">
        <v>1383</v>
      </c>
      <c r="C506" s="103" t="s">
        <v>155</v>
      </c>
      <c r="D506" s="104">
        <v>943000</v>
      </c>
      <c r="E506" s="104">
        <v>943000</v>
      </c>
      <c r="F506" s="175">
        <f t="shared" si="41"/>
        <v>0</v>
      </c>
      <c r="G506" s="167">
        <f t="shared" si="41"/>
        <v>943000</v>
      </c>
      <c r="H506" s="101" t="e">
        <f t="shared" si="40"/>
        <v>#VALUE!</v>
      </c>
      <c r="I506" s="101">
        <f t="shared" si="43"/>
        <v>-943000</v>
      </c>
      <c r="J506" s="101">
        <f t="shared" si="40"/>
        <v>-100</v>
      </c>
    </row>
    <row r="507" spans="1:10" ht="20.100000000000001" hidden="1" customHeight="1">
      <c r="A507" s="180"/>
      <c r="B507" s="102" t="s">
        <v>1384</v>
      </c>
      <c r="C507" s="103" t="s">
        <v>193</v>
      </c>
      <c r="D507" s="104"/>
      <c r="E507" s="104">
        <v>8700000</v>
      </c>
      <c r="F507" s="175">
        <f t="shared" si="41"/>
        <v>-8700000</v>
      </c>
      <c r="G507" s="167">
        <f t="shared" si="41"/>
        <v>17400000</v>
      </c>
      <c r="H507" s="101" t="e">
        <f t="shared" si="40"/>
        <v>#VALUE!</v>
      </c>
      <c r="I507" s="101">
        <f t="shared" si="43"/>
        <v>-26100000</v>
      </c>
      <c r="J507" s="101">
        <f t="shared" si="40"/>
        <v>-300</v>
      </c>
    </row>
    <row r="508" spans="1:10" ht="20.100000000000001" hidden="1" customHeight="1">
      <c r="A508" s="180"/>
      <c r="B508" s="102" t="s">
        <v>1385</v>
      </c>
      <c r="C508" s="103" t="s">
        <v>195</v>
      </c>
      <c r="D508" s="104">
        <v>8700000</v>
      </c>
      <c r="E508" s="104">
        <v>8700000</v>
      </c>
      <c r="F508" s="175">
        <f t="shared" si="41"/>
        <v>0</v>
      </c>
      <c r="G508" s="167">
        <f t="shared" si="41"/>
        <v>8700000</v>
      </c>
      <c r="H508" s="101" t="e">
        <f t="shared" si="40"/>
        <v>#VALUE!</v>
      </c>
      <c r="I508" s="101">
        <f t="shared" si="43"/>
        <v>-8700000</v>
      </c>
      <c r="J508" s="101">
        <f t="shared" si="40"/>
        <v>-100</v>
      </c>
    </row>
    <row r="509" spans="1:10" ht="20.100000000000001" hidden="1" customHeight="1">
      <c r="A509" s="180"/>
      <c r="B509" s="102" t="s">
        <v>1386</v>
      </c>
      <c r="C509" s="103" t="s">
        <v>157</v>
      </c>
      <c r="D509" s="104"/>
      <c r="E509" s="104">
        <v>12920000</v>
      </c>
      <c r="F509" s="175">
        <f t="shared" si="41"/>
        <v>-12920000</v>
      </c>
      <c r="G509" s="167">
        <f t="shared" si="41"/>
        <v>25840000</v>
      </c>
      <c r="H509" s="101" t="e">
        <f t="shared" si="40"/>
        <v>#VALUE!</v>
      </c>
      <c r="I509" s="101">
        <f t="shared" si="43"/>
        <v>-38760000</v>
      </c>
      <c r="J509" s="101">
        <f t="shared" si="40"/>
        <v>-300</v>
      </c>
    </row>
    <row r="510" spans="1:10" ht="20.100000000000001" hidden="1" customHeight="1">
      <c r="A510" s="180"/>
      <c r="B510" s="102" t="s">
        <v>1387</v>
      </c>
      <c r="C510" s="103" t="s">
        <v>159</v>
      </c>
      <c r="D510" s="104">
        <v>8720000</v>
      </c>
      <c r="E510" s="104">
        <v>8720000</v>
      </c>
      <c r="F510" s="175">
        <f t="shared" si="41"/>
        <v>0</v>
      </c>
      <c r="G510" s="167">
        <f t="shared" si="41"/>
        <v>8720000</v>
      </c>
      <c r="H510" s="101" t="e">
        <f t="shared" si="40"/>
        <v>#VALUE!</v>
      </c>
      <c r="I510" s="101">
        <f t="shared" si="43"/>
        <v>-8720000</v>
      </c>
      <c r="J510" s="101">
        <f t="shared" si="40"/>
        <v>-100</v>
      </c>
    </row>
    <row r="511" spans="1:10" ht="20.100000000000001" hidden="1" customHeight="1">
      <c r="A511" s="180"/>
      <c r="B511" s="102" t="s">
        <v>1388</v>
      </c>
      <c r="C511" s="103" t="s">
        <v>207</v>
      </c>
      <c r="D511" s="104">
        <v>4200000</v>
      </c>
      <c r="E511" s="104">
        <v>4200000</v>
      </c>
      <c r="F511" s="175">
        <f t="shared" si="41"/>
        <v>0</v>
      </c>
      <c r="G511" s="167">
        <f t="shared" si="41"/>
        <v>4200000</v>
      </c>
      <c r="H511" s="101" t="e">
        <f t="shared" si="40"/>
        <v>#VALUE!</v>
      </c>
      <c r="I511" s="101">
        <f t="shared" si="43"/>
        <v>-4200000</v>
      </c>
      <c r="J511" s="101">
        <f t="shared" si="40"/>
        <v>-100</v>
      </c>
    </row>
    <row r="512" spans="1:10" ht="20.100000000000001" hidden="1" customHeight="1">
      <c r="A512" s="180"/>
      <c r="B512" s="102" t="s">
        <v>1389</v>
      </c>
      <c r="C512" s="103" t="s">
        <v>402</v>
      </c>
      <c r="D512" s="104"/>
      <c r="E512" s="104">
        <v>14200000</v>
      </c>
      <c r="F512" s="175">
        <f t="shared" si="41"/>
        <v>-14200000</v>
      </c>
      <c r="G512" s="167">
        <f t="shared" si="41"/>
        <v>28400000</v>
      </c>
      <c r="H512" s="101" t="e">
        <f t="shared" si="40"/>
        <v>#VALUE!</v>
      </c>
      <c r="I512" s="101">
        <f t="shared" si="43"/>
        <v>-42600000</v>
      </c>
      <c r="J512" s="101">
        <f t="shared" si="40"/>
        <v>-300</v>
      </c>
    </row>
    <row r="513" spans="1:10" ht="20.100000000000001" hidden="1" customHeight="1">
      <c r="A513" s="180"/>
      <c r="B513" s="102" t="s">
        <v>1390</v>
      </c>
      <c r="C513" s="103" t="s">
        <v>404</v>
      </c>
      <c r="D513" s="104">
        <v>14200000</v>
      </c>
      <c r="E513" s="104">
        <v>14200000</v>
      </c>
      <c r="F513" s="175">
        <f t="shared" si="41"/>
        <v>0</v>
      </c>
      <c r="G513" s="167">
        <f t="shared" si="41"/>
        <v>14200000</v>
      </c>
      <c r="H513" s="101" t="e">
        <f t="shared" si="40"/>
        <v>#VALUE!</v>
      </c>
      <c r="I513" s="101">
        <f t="shared" si="43"/>
        <v>-14200000</v>
      </c>
      <c r="J513" s="101">
        <f t="shared" si="40"/>
        <v>-100</v>
      </c>
    </row>
    <row r="514" spans="1:10" ht="20.100000000000001" customHeight="1">
      <c r="A514" s="176" t="s">
        <v>632</v>
      </c>
      <c r="B514" s="106" t="s">
        <v>1391</v>
      </c>
      <c r="C514" s="107" t="s">
        <v>750</v>
      </c>
      <c r="D514" s="108">
        <f>D515+D545+D573</f>
        <v>918381000</v>
      </c>
      <c r="E514" s="108">
        <f>E515+E545+E573</f>
        <v>849500000</v>
      </c>
      <c r="F514" s="177">
        <f t="shared" si="41"/>
        <v>68881000</v>
      </c>
      <c r="G514" s="169">
        <f>G515+G545+G573</f>
        <v>484781450</v>
      </c>
      <c r="H514" s="110">
        <f>G514/E514*100</f>
        <v>57.066680400235434</v>
      </c>
      <c r="I514" s="109">
        <f>I515+I545+I573</f>
        <v>364718550</v>
      </c>
      <c r="J514" s="110">
        <f t="shared" si="40"/>
        <v>42.933319599764566</v>
      </c>
    </row>
    <row r="515" spans="1:10" ht="20.100000000000001" customHeight="1">
      <c r="A515" s="178">
        <v>31</v>
      </c>
      <c r="B515" s="193" t="s">
        <v>1392</v>
      </c>
      <c r="C515" s="195" t="s">
        <v>34</v>
      </c>
      <c r="D515" s="197">
        <v>321675000</v>
      </c>
      <c r="E515" s="197">
        <f>'rekap REALISASI REKO '!AB549</f>
        <v>307000000</v>
      </c>
      <c r="F515" s="199">
        <f>D515-E515</f>
        <v>14675000</v>
      </c>
      <c r="G515" s="201">
        <v>190589100</v>
      </c>
      <c r="H515" s="214">
        <f>G515/E515*100</f>
        <v>62.081140065146577</v>
      </c>
      <c r="I515" s="214">
        <f>E515-G515</f>
        <v>116410900</v>
      </c>
      <c r="J515" s="214">
        <f>I515/E515*100</f>
        <v>37.918859934853423</v>
      </c>
    </row>
    <row r="516" spans="1:10" ht="6" customHeight="1">
      <c r="A516" s="179"/>
      <c r="B516" s="194"/>
      <c r="C516" s="196"/>
      <c r="D516" s="198"/>
      <c r="E516" s="198"/>
      <c r="F516" s="200"/>
      <c r="G516" s="202"/>
      <c r="H516" s="215"/>
      <c r="I516" s="215"/>
      <c r="J516" s="215"/>
    </row>
    <row r="517" spans="1:10" ht="20.100000000000001" hidden="1" customHeight="1">
      <c r="A517" s="180"/>
      <c r="B517" s="102" t="s">
        <v>1393</v>
      </c>
      <c r="C517" s="103" t="s">
        <v>10</v>
      </c>
      <c r="D517" s="104"/>
      <c r="E517" s="104">
        <v>21810000</v>
      </c>
      <c r="F517" s="175">
        <f t="shared" si="41"/>
        <v>-21810000</v>
      </c>
      <c r="G517" s="167">
        <f t="shared" si="41"/>
        <v>43620000</v>
      </c>
      <c r="H517" s="101" t="e">
        <f t="shared" si="40"/>
        <v>#VALUE!</v>
      </c>
      <c r="I517" s="101">
        <f t="shared" ref="I517:I544" si="44">F517-G517</f>
        <v>-65430000</v>
      </c>
      <c r="J517" s="101">
        <f t="shared" si="40"/>
        <v>-300</v>
      </c>
    </row>
    <row r="518" spans="1:10" ht="20.100000000000001" hidden="1" customHeight="1">
      <c r="A518" s="180"/>
      <c r="B518" s="102" t="s">
        <v>1394</v>
      </c>
      <c r="C518" s="103" t="s">
        <v>177</v>
      </c>
      <c r="D518" s="104"/>
      <c r="E518" s="104">
        <v>21810000</v>
      </c>
      <c r="F518" s="175">
        <f t="shared" si="41"/>
        <v>-21810000</v>
      </c>
      <c r="G518" s="167">
        <f t="shared" si="41"/>
        <v>43620000</v>
      </c>
      <c r="H518" s="101" t="e">
        <f t="shared" si="40"/>
        <v>#VALUE!</v>
      </c>
      <c r="I518" s="101">
        <f t="shared" si="44"/>
        <v>-65430000</v>
      </c>
      <c r="J518" s="101">
        <f t="shared" si="40"/>
        <v>-300</v>
      </c>
    </row>
    <row r="519" spans="1:10" ht="20.100000000000001" hidden="1" customHeight="1">
      <c r="A519" s="180"/>
      <c r="B519" s="102" t="s">
        <v>1395</v>
      </c>
      <c r="C519" s="103" t="s">
        <v>283</v>
      </c>
      <c r="D519" s="104">
        <v>19575000</v>
      </c>
      <c r="E519" s="104">
        <v>19575000</v>
      </c>
      <c r="F519" s="175">
        <f t="shared" si="41"/>
        <v>0</v>
      </c>
      <c r="G519" s="167">
        <f t="shared" si="41"/>
        <v>19575000</v>
      </c>
      <c r="H519" s="101" t="e">
        <f t="shared" si="40"/>
        <v>#VALUE!</v>
      </c>
      <c r="I519" s="101">
        <f t="shared" si="44"/>
        <v>-19575000</v>
      </c>
      <c r="J519" s="101">
        <f t="shared" si="40"/>
        <v>-100</v>
      </c>
    </row>
    <row r="520" spans="1:10" ht="20.100000000000001" hidden="1" customHeight="1">
      <c r="A520" s="180"/>
      <c r="B520" s="102" t="s">
        <v>1396</v>
      </c>
      <c r="C520" s="103" t="s">
        <v>384</v>
      </c>
      <c r="D520" s="104">
        <v>2235000</v>
      </c>
      <c r="E520" s="104">
        <v>2235000</v>
      </c>
      <c r="F520" s="175">
        <f t="shared" si="41"/>
        <v>0</v>
      </c>
      <c r="G520" s="167">
        <f t="shared" si="41"/>
        <v>2235000</v>
      </c>
      <c r="H520" s="101" t="e">
        <f t="shared" si="40"/>
        <v>#VALUE!</v>
      </c>
      <c r="I520" s="101">
        <f t="shared" si="44"/>
        <v>-2235000</v>
      </c>
      <c r="J520" s="101">
        <f t="shared" si="40"/>
        <v>-100</v>
      </c>
    </row>
    <row r="521" spans="1:10" ht="20.100000000000001" hidden="1" customHeight="1">
      <c r="A521" s="180"/>
      <c r="B521" s="102" t="s">
        <v>1397</v>
      </c>
      <c r="C521" s="103" t="s">
        <v>143</v>
      </c>
      <c r="D521" s="104"/>
      <c r="E521" s="104">
        <v>299865000</v>
      </c>
      <c r="F521" s="175">
        <f t="shared" si="41"/>
        <v>-299865000</v>
      </c>
      <c r="G521" s="167">
        <f t="shared" si="41"/>
        <v>599730000</v>
      </c>
      <c r="H521" s="101" t="e">
        <f t="shared" si="40"/>
        <v>#VALUE!</v>
      </c>
      <c r="I521" s="101">
        <f t="shared" si="44"/>
        <v>-899595000</v>
      </c>
      <c r="J521" s="101">
        <f t="shared" si="40"/>
        <v>-300</v>
      </c>
    </row>
    <row r="522" spans="1:10" ht="20.100000000000001" hidden="1" customHeight="1">
      <c r="A522" s="180"/>
      <c r="B522" s="102" t="s">
        <v>1398</v>
      </c>
      <c r="C522" s="103" t="s">
        <v>145</v>
      </c>
      <c r="D522" s="104"/>
      <c r="E522" s="104">
        <v>1372000</v>
      </c>
      <c r="F522" s="175">
        <f t="shared" si="41"/>
        <v>-1372000</v>
      </c>
      <c r="G522" s="167">
        <f t="shared" si="41"/>
        <v>2744000</v>
      </c>
      <c r="H522" s="101" t="e">
        <f t="shared" ref="H522:J585" si="45">G522/C522*100</f>
        <v>#VALUE!</v>
      </c>
      <c r="I522" s="101">
        <f t="shared" si="44"/>
        <v>-4116000</v>
      </c>
      <c r="J522" s="101">
        <f t="shared" si="45"/>
        <v>-300</v>
      </c>
    </row>
    <row r="523" spans="1:10" ht="20.100000000000001" hidden="1" customHeight="1">
      <c r="A523" s="180"/>
      <c r="B523" s="102" t="s">
        <v>1399</v>
      </c>
      <c r="C523" s="103" t="s">
        <v>147</v>
      </c>
      <c r="D523" s="104">
        <v>1372000</v>
      </c>
      <c r="E523" s="104">
        <v>1372000</v>
      </c>
      <c r="F523" s="175">
        <f t="shared" ref="F523:G586" si="46">D523-E523</f>
        <v>0</v>
      </c>
      <c r="G523" s="167">
        <f t="shared" si="46"/>
        <v>1372000</v>
      </c>
      <c r="H523" s="101" t="e">
        <f t="shared" si="45"/>
        <v>#VALUE!</v>
      </c>
      <c r="I523" s="101">
        <f t="shared" si="44"/>
        <v>-1372000</v>
      </c>
      <c r="J523" s="101">
        <f t="shared" si="45"/>
        <v>-100</v>
      </c>
    </row>
    <row r="524" spans="1:10" ht="20.100000000000001" hidden="1" customHeight="1">
      <c r="A524" s="180"/>
      <c r="B524" s="102" t="s">
        <v>1400</v>
      </c>
      <c r="C524" s="103" t="s">
        <v>389</v>
      </c>
      <c r="D524" s="104"/>
      <c r="E524" s="104">
        <v>2100000</v>
      </c>
      <c r="F524" s="175">
        <f t="shared" si="46"/>
        <v>-2100000</v>
      </c>
      <c r="G524" s="167">
        <f t="shared" si="46"/>
        <v>4200000</v>
      </c>
      <c r="H524" s="101" t="e">
        <f t="shared" si="45"/>
        <v>#VALUE!</v>
      </c>
      <c r="I524" s="101">
        <f t="shared" si="44"/>
        <v>-6300000</v>
      </c>
      <c r="J524" s="101">
        <f t="shared" si="45"/>
        <v>-300</v>
      </c>
    </row>
    <row r="525" spans="1:10" ht="20.100000000000001" hidden="1" customHeight="1">
      <c r="A525" s="180"/>
      <c r="B525" s="102" t="s">
        <v>1401</v>
      </c>
      <c r="C525" s="103" t="s">
        <v>391</v>
      </c>
      <c r="D525" s="104">
        <v>2100000</v>
      </c>
      <c r="E525" s="104">
        <v>2100000</v>
      </c>
      <c r="F525" s="175">
        <f t="shared" si="46"/>
        <v>0</v>
      </c>
      <c r="G525" s="167">
        <f t="shared" si="46"/>
        <v>2100000</v>
      </c>
      <c r="H525" s="101" t="e">
        <f t="shared" si="45"/>
        <v>#VALUE!</v>
      </c>
      <c r="I525" s="101">
        <f t="shared" si="44"/>
        <v>-2100000</v>
      </c>
      <c r="J525" s="101">
        <f t="shared" si="45"/>
        <v>-100</v>
      </c>
    </row>
    <row r="526" spans="1:10" ht="20.100000000000001" hidden="1" customHeight="1">
      <c r="A526" s="180"/>
      <c r="B526" s="102" t="s">
        <v>1402</v>
      </c>
      <c r="C526" s="103" t="s">
        <v>163</v>
      </c>
      <c r="D526" s="104"/>
      <c r="E526" s="104">
        <v>10000000</v>
      </c>
      <c r="F526" s="175">
        <f t="shared" si="46"/>
        <v>-10000000</v>
      </c>
      <c r="G526" s="167">
        <f t="shared" si="46"/>
        <v>20000000</v>
      </c>
      <c r="H526" s="101" t="e">
        <f t="shared" si="45"/>
        <v>#VALUE!</v>
      </c>
      <c r="I526" s="101">
        <f t="shared" si="44"/>
        <v>-30000000</v>
      </c>
      <c r="J526" s="101">
        <f t="shared" si="45"/>
        <v>-300</v>
      </c>
    </row>
    <row r="527" spans="1:10" ht="20.100000000000001" hidden="1" customHeight="1">
      <c r="A527" s="180"/>
      <c r="B527" s="102" t="s">
        <v>1403</v>
      </c>
      <c r="C527" s="103" t="s">
        <v>349</v>
      </c>
      <c r="D527" s="104">
        <v>7900000</v>
      </c>
      <c r="E527" s="104">
        <v>7900000</v>
      </c>
      <c r="F527" s="175">
        <f t="shared" si="46"/>
        <v>0</v>
      </c>
      <c r="G527" s="167">
        <f t="shared" si="46"/>
        <v>7900000</v>
      </c>
      <c r="H527" s="101" t="e">
        <f t="shared" si="45"/>
        <v>#VALUE!</v>
      </c>
      <c r="I527" s="101">
        <f t="shared" si="44"/>
        <v>-7900000</v>
      </c>
      <c r="J527" s="101">
        <f t="shared" si="45"/>
        <v>-100</v>
      </c>
    </row>
    <row r="528" spans="1:10" ht="20.100000000000001" hidden="1" customHeight="1">
      <c r="A528" s="180"/>
      <c r="B528" s="102" t="s">
        <v>1404</v>
      </c>
      <c r="C528" s="103" t="s">
        <v>352</v>
      </c>
      <c r="D528" s="104">
        <v>2100000</v>
      </c>
      <c r="E528" s="104">
        <v>2100000</v>
      </c>
      <c r="F528" s="175">
        <f t="shared" si="46"/>
        <v>0</v>
      </c>
      <c r="G528" s="167">
        <f t="shared" si="46"/>
        <v>2100000</v>
      </c>
      <c r="H528" s="101" t="e">
        <f t="shared" si="45"/>
        <v>#VALUE!</v>
      </c>
      <c r="I528" s="101">
        <f t="shared" si="44"/>
        <v>-2100000</v>
      </c>
      <c r="J528" s="101">
        <f t="shared" si="45"/>
        <v>-100</v>
      </c>
    </row>
    <row r="529" spans="1:10" ht="20.100000000000001" hidden="1" customHeight="1">
      <c r="A529" s="180"/>
      <c r="B529" s="102" t="s">
        <v>1405</v>
      </c>
      <c r="C529" s="103" t="s">
        <v>151</v>
      </c>
      <c r="D529" s="104"/>
      <c r="E529" s="104">
        <v>2579000</v>
      </c>
      <c r="F529" s="175">
        <f t="shared" si="46"/>
        <v>-2579000</v>
      </c>
      <c r="G529" s="167">
        <f t="shared" si="46"/>
        <v>5158000</v>
      </c>
      <c r="H529" s="101" t="e">
        <f t="shared" si="45"/>
        <v>#VALUE!</v>
      </c>
      <c r="I529" s="101">
        <f t="shared" si="44"/>
        <v>-7737000</v>
      </c>
      <c r="J529" s="101">
        <f t="shared" si="45"/>
        <v>-300</v>
      </c>
    </row>
    <row r="530" spans="1:10" ht="20.100000000000001" hidden="1" customHeight="1">
      <c r="A530" s="180"/>
      <c r="B530" s="102" t="s">
        <v>1406</v>
      </c>
      <c r="C530" s="103" t="s">
        <v>153</v>
      </c>
      <c r="D530" s="104">
        <v>1590000</v>
      </c>
      <c r="E530" s="104">
        <v>1590000</v>
      </c>
      <c r="F530" s="175">
        <f t="shared" si="46"/>
        <v>0</v>
      </c>
      <c r="G530" s="167">
        <f t="shared" si="46"/>
        <v>1590000</v>
      </c>
      <c r="H530" s="101" t="e">
        <f t="shared" si="45"/>
        <v>#VALUE!</v>
      </c>
      <c r="I530" s="101">
        <f t="shared" si="44"/>
        <v>-1590000</v>
      </c>
      <c r="J530" s="101">
        <f t="shared" si="45"/>
        <v>-100</v>
      </c>
    </row>
    <row r="531" spans="1:10" ht="20.100000000000001" hidden="1" customHeight="1">
      <c r="A531" s="180"/>
      <c r="B531" s="102" t="s">
        <v>1407</v>
      </c>
      <c r="C531" s="103" t="s">
        <v>155</v>
      </c>
      <c r="D531" s="104">
        <v>989000</v>
      </c>
      <c r="E531" s="104">
        <v>989000</v>
      </c>
      <c r="F531" s="175">
        <f t="shared" si="46"/>
        <v>0</v>
      </c>
      <c r="G531" s="167">
        <f t="shared" si="46"/>
        <v>989000</v>
      </c>
      <c r="H531" s="101" t="e">
        <f t="shared" si="45"/>
        <v>#VALUE!</v>
      </c>
      <c r="I531" s="101">
        <f t="shared" si="44"/>
        <v>-989000</v>
      </c>
      <c r="J531" s="101">
        <f t="shared" si="45"/>
        <v>-100</v>
      </c>
    </row>
    <row r="532" spans="1:10" ht="20.100000000000001" hidden="1" customHeight="1">
      <c r="A532" s="180"/>
      <c r="B532" s="102" t="s">
        <v>1408</v>
      </c>
      <c r="C532" s="103" t="s">
        <v>712</v>
      </c>
      <c r="D532" s="104"/>
      <c r="E532" s="104">
        <v>55000000</v>
      </c>
      <c r="F532" s="175">
        <f t="shared" si="46"/>
        <v>-55000000</v>
      </c>
      <c r="G532" s="167">
        <f t="shared" si="46"/>
        <v>110000000</v>
      </c>
      <c r="H532" s="101" t="e">
        <f t="shared" si="45"/>
        <v>#VALUE!</v>
      </c>
      <c r="I532" s="101">
        <f t="shared" si="44"/>
        <v>-165000000</v>
      </c>
      <c r="J532" s="101">
        <f t="shared" si="45"/>
        <v>-300</v>
      </c>
    </row>
    <row r="533" spans="1:10" ht="20.100000000000001" hidden="1" customHeight="1">
      <c r="A533" s="180"/>
      <c r="B533" s="102" t="s">
        <v>1409</v>
      </c>
      <c r="C533" s="103" t="s">
        <v>714</v>
      </c>
      <c r="D533" s="104">
        <v>55000000</v>
      </c>
      <c r="E533" s="104">
        <v>55000000</v>
      </c>
      <c r="F533" s="175">
        <f t="shared" si="46"/>
        <v>0</v>
      </c>
      <c r="G533" s="167">
        <f t="shared" si="46"/>
        <v>55000000</v>
      </c>
      <c r="H533" s="101" t="e">
        <f t="shared" si="45"/>
        <v>#VALUE!</v>
      </c>
      <c r="I533" s="101">
        <f t="shared" si="44"/>
        <v>-55000000</v>
      </c>
      <c r="J533" s="101">
        <f t="shared" si="45"/>
        <v>-100</v>
      </c>
    </row>
    <row r="534" spans="1:10" ht="20.100000000000001" hidden="1" customHeight="1">
      <c r="A534" s="180"/>
      <c r="B534" s="102" t="s">
        <v>1410</v>
      </c>
      <c r="C534" s="103" t="s">
        <v>328</v>
      </c>
      <c r="D534" s="104"/>
      <c r="E534" s="104">
        <v>15000000</v>
      </c>
      <c r="F534" s="175">
        <f t="shared" si="46"/>
        <v>-15000000</v>
      </c>
      <c r="G534" s="167">
        <f t="shared" si="46"/>
        <v>30000000</v>
      </c>
      <c r="H534" s="101" t="e">
        <f t="shared" si="45"/>
        <v>#VALUE!</v>
      </c>
      <c r="I534" s="101">
        <f t="shared" si="44"/>
        <v>-45000000</v>
      </c>
      <c r="J534" s="101">
        <f t="shared" si="45"/>
        <v>-300</v>
      </c>
    </row>
    <row r="535" spans="1:10" ht="20.100000000000001" hidden="1" customHeight="1">
      <c r="A535" s="180"/>
      <c r="B535" s="102" t="s">
        <v>1411</v>
      </c>
      <c r="C535" s="103" t="s">
        <v>330</v>
      </c>
      <c r="D535" s="104">
        <v>15000000</v>
      </c>
      <c r="E535" s="104">
        <v>15000000</v>
      </c>
      <c r="F535" s="175">
        <f t="shared" si="46"/>
        <v>0</v>
      </c>
      <c r="G535" s="167">
        <f t="shared" si="46"/>
        <v>15000000</v>
      </c>
      <c r="H535" s="101" t="e">
        <f t="shared" si="45"/>
        <v>#VALUE!</v>
      </c>
      <c r="I535" s="101">
        <f t="shared" si="44"/>
        <v>-15000000</v>
      </c>
      <c r="J535" s="101">
        <f t="shared" si="45"/>
        <v>-100</v>
      </c>
    </row>
    <row r="536" spans="1:10" ht="20.100000000000001" hidden="1" customHeight="1">
      <c r="A536" s="180"/>
      <c r="B536" s="102" t="s">
        <v>1412</v>
      </c>
      <c r="C536" s="103" t="s">
        <v>193</v>
      </c>
      <c r="D536" s="104"/>
      <c r="E536" s="104">
        <v>7979000</v>
      </c>
      <c r="F536" s="175">
        <f t="shared" si="46"/>
        <v>-7979000</v>
      </c>
      <c r="G536" s="167">
        <f t="shared" si="46"/>
        <v>15958000</v>
      </c>
      <c r="H536" s="101" t="e">
        <f t="shared" si="45"/>
        <v>#VALUE!</v>
      </c>
      <c r="I536" s="101">
        <f t="shared" si="44"/>
        <v>-23937000</v>
      </c>
      <c r="J536" s="101">
        <f t="shared" si="45"/>
        <v>-300</v>
      </c>
    </row>
    <row r="537" spans="1:10" ht="20.100000000000001" hidden="1" customHeight="1">
      <c r="A537" s="180"/>
      <c r="B537" s="102" t="s">
        <v>1413</v>
      </c>
      <c r="C537" s="103" t="s">
        <v>195</v>
      </c>
      <c r="D537" s="104">
        <v>7979000</v>
      </c>
      <c r="E537" s="104">
        <v>7979000</v>
      </c>
      <c r="F537" s="175">
        <f t="shared" si="46"/>
        <v>0</v>
      </c>
      <c r="G537" s="167">
        <f t="shared" si="46"/>
        <v>7979000</v>
      </c>
      <c r="H537" s="101" t="e">
        <f t="shared" si="45"/>
        <v>#VALUE!</v>
      </c>
      <c r="I537" s="101">
        <f t="shared" si="44"/>
        <v>-7979000</v>
      </c>
      <c r="J537" s="101">
        <f t="shared" si="45"/>
        <v>-100</v>
      </c>
    </row>
    <row r="538" spans="1:10" ht="20.100000000000001" hidden="1" customHeight="1">
      <c r="A538" s="180"/>
      <c r="B538" s="102" t="s">
        <v>1414</v>
      </c>
      <c r="C538" s="103" t="s">
        <v>157</v>
      </c>
      <c r="D538" s="104"/>
      <c r="E538" s="104">
        <v>161735000</v>
      </c>
      <c r="F538" s="175">
        <f t="shared" si="46"/>
        <v>-161735000</v>
      </c>
      <c r="G538" s="167">
        <f t="shared" si="46"/>
        <v>323470000</v>
      </c>
      <c r="H538" s="101" t="e">
        <f t="shared" si="45"/>
        <v>#VALUE!</v>
      </c>
      <c r="I538" s="101">
        <f t="shared" si="44"/>
        <v>-485205000</v>
      </c>
      <c r="J538" s="101">
        <f t="shared" si="45"/>
        <v>-300</v>
      </c>
    </row>
    <row r="539" spans="1:10" ht="20.100000000000001" hidden="1" customHeight="1">
      <c r="A539" s="180"/>
      <c r="B539" s="102" t="s">
        <v>1415</v>
      </c>
      <c r="C539" s="103" t="s">
        <v>159</v>
      </c>
      <c r="D539" s="104">
        <v>5760000</v>
      </c>
      <c r="E539" s="104">
        <v>5760000</v>
      </c>
      <c r="F539" s="175">
        <f t="shared" si="46"/>
        <v>0</v>
      </c>
      <c r="G539" s="167">
        <f t="shared" si="46"/>
        <v>5760000</v>
      </c>
      <c r="H539" s="101" t="e">
        <f t="shared" si="45"/>
        <v>#VALUE!</v>
      </c>
      <c r="I539" s="101">
        <f t="shared" si="44"/>
        <v>-5760000</v>
      </c>
      <c r="J539" s="101">
        <f t="shared" si="45"/>
        <v>-100</v>
      </c>
    </row>
    <row r="540" spans="1:10" ht="20.100000000000001" hidden="1" customHeight="1">
      <c r="A540" s="180"/>
      <c r="B540" s="102" t="s">
        <v>1416</v>
      </c>
      <c r="C540" s="103" t="s">
        <v>207</v>
      </c>
      <c r="D540" s="104">
        <v>155975000</v>
      </c>
      <c r="E540" s="104">
        <v>155975000</v>
      </c>
      <c r="F540" s="175">
        <f t="shared" si="46"/>
        <v>0</v>
      </c>
      <c r="G540" s="167">
        <f t="shared" si="46"/>
        <v>155975000</v>
      </c>
      <c r="H540" s="101" t="e">
        <f t="shared" si="45"/>
        <v>#VALUE!</v>
      </c>
      <c r="I540" s="101">
        <f t="shared" si="44"/>
        <v>-155975000</v>
      </c>
      <c r="J540" s="101">
        <f t="shared" si="45"/>
        <v>-100</v>
      </c>
    </row>
    <row r="541" spans="1:10" ht="20.100000000000001" hidden="1" customHeight="1">
      <c r="A541" s="180"/>
      <c r="B541" s="102" t="s">
        <v>1417</v>
      </c>
      <c r="C541" s="103" t="s">
        <v>812</v>
      </c>
      <c r="D541" s="104"/>
      <c r="E541" s="104">
        <v>42000000</v>
      </c>
      <c r="F541" s="175">
        <f t="shared" si="46"/>
        <v>-42000000</v>
      </c>
      <c r="G541" s="167">
        <f t="shared" si="46"/>
        <v>84000000</v>
      </c>
      <c r="H541" s="101" t="e">
        <f t="shared" si="45"/>
        <v>#VALUE!</v>
      </c>
      <c r="I541" s="101">
        <f t="shared" si="44"/>
        <v>-126000000</v>
      </c>
      <c r="J541" s="101">
        <f t="shared" si="45"/>
        <v>-300</v>
      </c>
    </row>
    <row r="542" spans="1:10" ht="20.100000000000001" hidden="1" customHeight="1">
      <c r="A542" s="180"/>
      <c r="B542" s="102" t="s">
        <v>1418</v>
      </c>
      <c r="C542" s="103" t="s">
        <v>814</v>
      </c>
      <c r="D542" s="104">
        <v>42000000</v>
      </c>
      <c r="E542" s="104">
        <v>42000000</v>
      </c>
      <c r="F542" s="175">
        <f t="shared" si="46"/>
        <v>0</v>
      </c>
      <c r="G542" s="167">
        <f t="shared" si="46"/>
        <v>42000000</v>
      </c>
      <c r="H542" s="101" t="e">
        <f t="shared" si="45"/>
        <v>#VALUE!</v>
      </c>
      <c r="I542" s="101">
        <f t="shared" si="44"/>
        <v>-42000000</v>
      </c>
      <c r="J542" s="101">
        <f t="shared" si="45"/>
        <v>-100</v>
      </c>
    </row>
    <row r="543" spans="1:10" ht="20.100000000000001" hidden="1" customHeight="1">
      <c r="A543" s="180"/>
      <c r="B543" s="102" t="s">
        <v>1419</v>
      </c>
      <c r="C543" s="103" t="s">
        <v>402</v>
      </c>
      <c r="D543" s="104"/>
      <c r="E543" s="104">
        <v>2100000</v>
      </c>
      <c r="F543" s="175">
        <f t="shared" si="46"/>
        <v>-2100000</v>
      </c>
      <c r="G543" s="167">
        <f t="shared" si="46"/>
        <v>4200000</v>
      </c>
      <c r="H543" s="101" t="e">
        <f t="shared" si="45"/>
        <v>#VALUE!</v>
      </c>
      <c r="I543" s="101">
        <f t="shared" si="44"/>
        <v>-6300000</v>
      </c>
      <c r="J543" s="101">
        <f t="shared" si="45"/>
        <v>-300</v>
      </c>
    </row>
    <row r="544" spans="1:10" ht="20.100000000000001" hidden="1" customHeight="1">
      <c r="A544" s="180"/>
      <c r="B544" s="102" t="s">
        <v>1420</v>
      </c>
      <c r="C544" s="103" t="s">
        <v>404</v>
      </c>
      <c r="D544" s="104">
        <v>2100000</v>
      </c>
      <c r="E544" s="104">
        <v>2100000</v>
      </c>
      <c r="F544" s="175">
        <f t="shared" si="46"/>
        <v>0</v>
      </c>
      <c r="G544" s="167">
        <f t="shared" si="46"/>
        <v>2100000</v>
      </c>
      <c r="H544" s="101" t="e">
        <f t="shared" si="45"/>
        <v>#VALUE!</v>
      </c>
      <c r="I544" s="101">
        <f t="shared" si="44"/>
        <v>-2100000</v>
      </c>
      <c r="J544" s="101">
        <f t="shared" si="45"/>
        <v>-100</v>
      </c>
    </row>
    <row r="545" spans="1:10" ht="20.100000000000001" customHeight="1">
      <c r="A545" s="178">
        <v>32</v>
      </c>
      <c r="B545" s="193" t="s">
        <v>1421</v>
      </c>
      <c r="C545" s="195" t="s">
        <v>35</v>
      </c>
      <c r="D545" s="197">
        <f>SUM(D547:D572)</f>
        <v>310400000</v>
      </c>
      <c r="E545" s="197">
        <f>'rekap REALISASI REKO '!AB607</f>
        <v>200000000</v>
      </c>
      <c r="F545" s="199">
        <f>D545-E545</f>
        <v>110400000</v>
      </c>
      <c r="G545" s="201">
        <f>'rekap REALISASI REKO '!AQ607</f>
        <v>131719700</v>
      </c>
      <c r="H545" s="214">
        <f>G545/E545*100</f>
        <v>65.859849999999994</v>
      </c>
      <c r="I545" s="214">
        <f>E545-G545</f>
        <v>68280300</v>
      </c>
      <c r="J545" s="214">
        <f>I545/E545*100</f>
        <v>34.140150000000006</v>
      </c>
    </row>
    <row r="546" spans="1:10" ht="5.25" customHeight="1">
      <c r="A546" s="179"/>
      <c r="B546" s="194"/>
      <c r="C546" s="196"/>
      <c r="D546" s="198"/>
      <c r="E546" s="198"/>
      <c r="F546" s="200"/>
      <c r="G546" s="202"/>
      <c r="H546" s="215"/>
      <c r="I546" s="215"/>
      <c r="J546" s="215"/>
    </row>
    <row r="547" spans="1:10" ht="20.100000000000001" hidden="1" customHeight="1">
      <c r="A547" s="180"/>
      <c r="B547" s="102" t="s">
        <v>1422</v>
      </c>
      <c r="C547" s="103" t="s">
        <v>10</v>
      </c>
      <c r="D547" s="104"/>
      <c r="E547" s="104">
        <v>15795000</v>
      </c>
      <c r="F547" s="175">
        <f t="shared" si="46"/>
        <v>-15795000</v>
      </c>
      <c r="G547" s="167">
        <f t="shared" si="46"/>
        <v>31590000</v>
      </c>
      <c r="H547" s="101" t="e">
        <f t="shared" si="45"/>
        <v>#VALUE!</v>
      </c>
      <c r="I547" s="101">
        <f t="shared" ref="I547:I572" si="47">F547-G547</f>
        <v>-47385000</v>
      </c>
      <c r="J547" s="101">
        <f t="shared" si="45"/>
        <v>-300</v>
      </c>
    </row>
    <row r="548" spans="1:10" ht="20.100000000000001" hidden="1" customHeight="1">
      <c r="A548" s="180"/>
      <c r="B548" s="102" t="s">
        <v>1423</v>
      </c>
      <c r="C548" s="103" t="s">
        <v>177</v>
      </c>
      <c r="D548" s="104"/>
      <c r="E548" s="104">
        <v>15795000</v>
      </c>
      <c r="F548" s="175">
        <f t="shared" si="46"/>
        <v>-15795000</v>
      </c>
      <c r="G548" s="167">
        <f t="shared" si="46"/>
        <v>31590000</v>
      </c>
      <c r="H548" s="101" t="e">
        <f t="shared" si="45"/>
        <v>#VALUE!</v>
      </c>
      <c r="I548" s="101">
        <f t="shared" si="47"/>
        <v>-47385000</v>
      </c>
      <c r="J548" s="101">
        <f t="shared" si="45"/>
        <v>-300</v>
      </c>
    </row>
    <row r="549" spans="1:10" ht="20.100000000000001" hidden="1" customHeight="1">
      <c r="A549" s="180"/>
      <c r="B549" s="102" t="s">
        <v>1424</v>
      </c>
      <c r="C549" s="103" t="s">
        <v>283</v>
      </c>
      <c r="D549" s="104">
        <v>15000000</v>
      </c>
      <c r="E549" s="104">
        <v>15000000</v>
      </c>
      <c r="F549" s="175">
        <f t="shared" si="46"/>
        <v>0</v>
      </c>
      <c r="G549" s="167">
        <f t="shared" si="46"/>
        <v>15000000</v>
      </c>
      <c r="H549" s="101" t="e">
        <f t="shared" si="45"/>
        <v>#VALUE!</v>
      </c>
      <c r="I549" s="101">
        <f t="shared" si="47"/>
        <v>-15000000</v>
      </c>
      <c r="J549" s="101">
        <f t="shared" si="45"/>
        <v>-100</v>
      </c>
    </row>
    <row r="550" spans="1:10" ht="20.100000000000001" hidden="1" customHeight="1">
      <c r="A550" s="180"/>
      <c r="B550" s="102" t="s">
        <v>1425</v>
      </c>
      <c r="C550" s="103" t="s">
        <v>384</v>
      </c>
      <c r="D550" s="104">
        <v>795000</v>
      </c>
      <c r="E550" s="104">
        <v>795000</v>
      </c>
      <c r="F550" s="175">
        <f t="shared" si="46"/>
        <v>0</v>
      </c>
      <c r="G550" s="167">
        <f t="shared" si="46"/>
        <v>795000</v>
      </c>
      <c r="H550" s="101" t="e">
        <f t="shared" si="45"/>
        <v>#VALUE!</v>
      </c>
      <c r="I550" s="101">
        <f t="shared" si="47"/>
        <v>-795000</v>
      </c>
      <c r="J550" s="101">
        <f t="shared" si="45"/>
        <v>-100</v>
      </c>
    </row>
    <row r="551" spans="1:10" ht="20.100000000000001" hidden="1" customHeight="1">
      <c r="A551" s="180"/>
      <c r="B551" s="102" t="s">
        <v>1426</v>
      </c>
      <c r="C551" s="103" t="s">
        <v>143</v>
      </c>
      <c r="D551" s="104"/>
      <c r="E551" s="104">
        <v>294605000</v>
      </c>
      <c r="F551" s="175">
        <f t="shared" si="46"/>
        <v>-294605000</v>
      </c>
      <c r="G551" s="167">
        <f t="shared" si="46"/>
        <v>589210000</v>
      </c>
      <c r="H551" s="101" t="e">
        <f t="shared" si="45"/>
        <v>#VALUE!</v>
      </c>
      <c r="I551" s="101">
        <f t="shared" si="47"/>
        <v>-883815000</v>
      </c>
      <c r="J551" s="101">
        <f t="shared" si="45"/>
        <v>-300</v>
      </c>
    </row>
    <row r="552" spans="1:10" ht="20.100000000000001" hidden="1" customHeight="1">
      <c r="A552" s="180"/>
      <c r="B552" s="102" t="s">
        <v>1427</v>
      </c>
      <c r="C552" s="103" t="s">
        <v>145</v>
      </c>
      <c r="D552" s="104"/>
      <c r="E552" s="104">
        <v>5597000</v>
      </c>
      <c r="F552" s="175">
        <f t="shared" si="46"/>
        <v>-5597000</v>
      </c>
      <c r="G552" s="167">
        <f t="shared" si="46"/>
        <v>11194000</v>
      </c>
      <c r="H552" s="101" t="e">
        <f t="shared" si="45"/>
        <v>#VALUE!</v>
      </c>
      <c r="I552" s="101">
        <f t="shared" si="47"/>
        <v>-16791000</v>
      </c>
      <c r="J552" s="101">
        <f t="shared" si="45"/>
        <v>-300</v>
      </c>
    </row>
    <row r="553" spans="1:10" ht="20.100000000000001" hidden="1" customHeight="1">
      <c r="A553" s="180"/>
      <c r="B553" s="102" t="s">
        <v>1428</v>
      </c>
      <c r="C553" s="103" t="s">
        <v>147</v>
      </c>
      <c r="D553" s="104">
        <v>5597000</v>
      </c>
      <c r="E553" s="104">
        <v>5597000</v>
      </c>
      <c r="F553" s="175">
        <f t="shared" si="46"/>
        <v>0</v>
      </c>
      <c r="G553" s="167">
        <f t="shared" si="46"/>
        <v>5597000</v>
      </c>
      <c r="H553" s="101" t="e">
        <f t="shared" si="45"/>
        <v>#VALUE!</v>
      </c>
      <c r="I553" s="101">
        <f t="shared" si="47"/>
        <v>-5597000</v>
      </c>
      <c r="J553" s="101">
        <f t="shared" si="45"/>
        <v>-100</v>
      </c>
    </row>
    <row r="554" spans="1:10" ht="20.100000000000001" hidden="1" customHeight="1">
      <c r="A554" s="180"/>
      <c r="B554" s="102" t="s">
        <v>1429</v>
      </c>
      <c r="C554" s="103" t="s">
        <v>389</v>
      </c>
      <c r="D554" s="104"/>
      <c r="E554" s="104">
        <v>16840000</v>
      </c>
      <c r="F554" s="175">
        <f t="shared" si="46"/>
        <v>-16840000</v>
      </c>
      <c r="G554" s="167">
        <f t="shared" si="46"/>
        <v>33680000</v>
      </c>
      <c r="H554" s="101" t="e">
        <f t="shared" si="45"/>
        <v>#VALUE!</v>
      </c>
      <c r="I554" s="101">
        <f t="shared" si="47"/>
        <v>-50520000</v>
      </c>
      <c r="J554" s="101">
        <f t="shared" si="45"/>
        <v>-300</v>
      </c>
    </row>
    <row r="555" spans="1:10" ht="20.100000000000001" hidden="1" customHeight="1">
      <c r="A555" s="180"/>
      <c r="B555" s="102" t="s">
        <v>1430</v>
      </c>
      <c r="C555" s="103" t="s">
        <v>610</v>
      </c>
      <c r="D555" s="104">
        <v>840000</v>
      </c>
      <c r="E555" s="104">
        <v>840000</v>
      </c>
      <c r="F555" s="175">
        <f t="shared" si="46"/>
        <v>0</v>
      </c>
      <c r="G555" s="167">
        <f t="shared" si="46"/>
        <v>840000</v>
      </c>
      <c r="H555" s="101" t="e">
        <f t="shared" si="45"/>
        <v>#VALUE!</v>
      </c>
      <c r="I555" s="101">
        <f t="shared" si="47"/>
        <v>-840000</v>
      </c>
      <c r="J555" s="101">
        <f t="shared" si="45"/>
        <v>-100</v>
      </c>
    </row>
    <row r="556" spans="1:10" ht="20.100000000000001" hidden="1" customHeight="1">
      <c r="A556" s="180"/>
      <c r="B556" s="102" t="s">
        <v>1431</v>
      </c>
      <c r="C556" s="103" t="s">
        <v>391</v>
      </c>
      <c r="D556" s="104">
        <v>16000000</v>
      </c>
      <c r="E556" s="104">
        <v>16000000</v>
      </c>
      <c r="F556" s="175">
        <f t="shared" si="46"/>
        <v>0</v>
      </c>
      <c r="G556" s="167">
        <f t="shared" si="46"/>
        <v>16000000</v>
      </c>
      <c r="H556" s="101" t="e">
        <f t="shared" si="45"/>
        <v>#VALUE!</v>
      </c>
      <c r="I556" s="101">
        <f t="shared" si="47"/>
        <v>-16000000</v>
      </c>
      <c r="J556" s="101">
        <f t="shared" si="45"/>
        <v>-100</v>
      </c>
    </row>
    <row r="557" spans="1:10" ht="20.100000000000001" hidden="1" customHeight="1">
      <c r="A557" s="180"/>
      <c r="B557" s="102" t="s">
        <v>1432</v>
      </c>
      <c r="C557" s="103" t="s">
        <v>163</v>
      </c>
      <c r="D557" s="104"/>
      <c r="E557" s="104">
        <v>26470000</v>
      </c>
      <c r="F557" s="175">
        <f t="shared" si="46"/>
        <v>-26470000</v>
      </c>
      <c r="G557" s="167">
        <f t="shared" si="46"/>
        <v>52940000</v>
      </c>
      <c r="H557" s="101" t="e">
        <f t="shared" si="45"/>
        <v>#VALUE!</v>
      </c>
      <c r="I557" s="101">
        <f t="shared" si="47"/>
        <v>-79410000</v>
      </c>
      <c r="J557" s="101">
        <f t="shared" si="45"/>
        <v>-300</v>
      </c>
    </row>
    <row r="558" spans="1:10" ht="20.100000000000001" hidden="1" customHeight="1">
      <c r="A558" s="180"/>
      <c r="B558" s="102" t="s">
        <v>1433</v>
      </c>
      <c r="C558" s="103" t="s">
        <v>349</v>
      </c>
      <c r="D558" s="104">
        <v>2220000</v>
      </c>
      <c r="E558" s="104">
        <v>2220000</v>
      </c>
      <c r="F558" s="175">
        <f t="shared" si="46"/>
        <v>0</v>
      </c>
      <c r="G558" s="167">
        <f t="shared" si="46"/>
        <v>2220000</v>
      </c>
      <c r="H558" s="101" t="e">
        <f t="shared" si="45"/>
        <v>#VALUE!</v>
      </c>
      <c r="I558" s="101">
        <f t="shared" si="47"/>
        <v>-2220000</v>
      </c>
      <c r="J558" s="101">
        <f t="shared" si="45"/>
        <v>-100</v>
      </c>
    </row>
    <row r="559" spans="1:10" ht="20.100000000000001" hidden="1" customHeight="1">
      <c r="A559" s="180"/>
      <c r="B559" s="102" t="s">
        <v>1434</v>
      </c>
      <c r="C559" s="103" t="s">
        <v>352</v>
      </c>
      <c r="D559" s="104">
        <v>24250000</v>
      </c>
      <c r="E559" s="104">
        <v>24250000</v>
      </c>
      <c r="F559" s="175">
        <f t="shared" si="46"/>
        <v>0</v>
      </c>
      <c r="G559" s="167">
        <f t="shared" si="46"/>
        <v>24250000</v>
      </c>
      <c r="H559" s="101" t="e">
        <f t="shared" si="45"/>
        <v>#VALUE!</v>
      </c>
      <c r="I559" s="101">
        <f t="shared" si="47"/>
        <v>-24250000</v>
      </c>
      <c r="J559" s="101">
        <f t="shared" si="45"/>
        <v>-100</v>
      </c>
    </row>
    <row r="560" spans="1:10" ht="20.100000000000001" hidden="1" customHeight="1">
      <c r="A560" s="180"/>
      <c r="B560" s="102" t="s">
        <v>1435</v>
      </c>
      <c r="C560" s="103" t="s">
        <v>151</v>
      </c>
      <c r="D560" s="104"/>
      <c r="E560" s="104">
        <v>939500</v>
      </c>
      <c r="F560" s="175">
        <f t="shared" si="46"/>
        <v>-939500</v>
      </c>
      <c r="G560" s="167">
        <f t="shared" si="46"/>
        <v>1879000</v>
      </c>
      <c r="H560" s="101" t="e">
        <f t="shared" si="45"/>
        <v>#VALUE!</v>
      </c>
      <c r="I560" s="101">
        <f t="shared" si="47"/>
        <v>-2818500</v>
      </c>
      <c r="J560" s="101">
        <f t="shared" si="45"/>
        <v>-300</v>
      </c>
    </row>
    <row r="561" spans="1:10" ht="20.100000000000001" hidden="1" customHeight="1">
      <c r="A561" s="180"/>
      <c r="B561" s="102" t="s">
        <v>1436</v>
      </c>
      <c r="C561" s="103" t="s">
        <v>155</v>
      </c>
      <c r="D561" s="104">
        <v>939500</v>
      </c>
      <c r="E561" s="104">
        <v>939500</v>
      </c>
      <c r="F561" s="175">
        <f t="shared" si="46"/>
        <v>0</v>
      </c>
      <c r="G561" s="167">
        <f t="shared" si="46"/>
        <v>939500</v>
      </c>
      <c r="H561" s="101" t="e">
        <f t="shared" si="45"/>
        <v>#VALUE!</v>
      </c>
      <c r="I561" s="101">
        <f t="shared" si="47"/>
        <v>-939500</v>
      </c>
      <c r="J561" s="101">
        <f t="shared" si="45"/>
        <v>-100</v>
      </c>
    </row>
    <row r="562" spans="1:10" ht="20.100000000000001" hidden="1" customHeight="1">
      <c r="A562" s="180"/>
      <c r="B562" s="102" t="s">
        <v>1437</v>
      </c>
      <c r="C562" s="103" t="s">
        <v>712</v>
      </c>
      <c r="D562" s="104"/>
      <c r="E562" s="104">
        <v>41000000</v>
      </c>
      <c r="F562" s="175">
        <f t="shared" si="46"/>
        <v>-41000000</v>
      </c>
      <c r="G562" s="167">
        <f t="shared" si="46"/>
        <v>82000000</v>
      </c>
      <c r="H562" s="101" t="e">
        <f t="shared" si="45"/>
        <v>#VALUE!</v>
      </c>
      <c r="I562" s="101">
        <f t="shared" si="47"/>
        <v>-123000000</v>
      </c>
      <c r="J562" s="101">
        <f t="shared" si="45"/>
        <v>-300</v>
      </c>
    </row>
    <row r="563" spans="1:10" ht="20.100000000000001" hidden="1" customHeight="1">
      <c r="A563" s="180"/>
      <c r="B563" s="102" t="s">
        <v>1438</v>
      </c>
      <c r="C563" s="103" t="s">
        <v>714</v>
      </c>
      <c r="D563" s="104">
        <v>41000000</v>
      </c>
      <c r="E563" s="104">
        <v>41000000</v>
      </c>
      <c r="F563" s="175">
        <f t="shared" si="46"/>
        <v>0</v>
      </c>
      <c r="G563" s="167">
        <f t="shared" si="46"/>
        <v>41000000</v>
      </c>
      <c r="H563" s="101" t="e">
        <f t="shared" si="45"/>
        <v>#VALUE!</v>
      </c>
      <c r="I563" s="101">
        <f t="shared" si="47"/>
        <v>-41000000</v>
      </c>
      <c r="J563" s="101">
        <f t="shared" si="45"/>
        <v>-100</v>
      </c>
    </row>
    <row r="564" spans="1:10" ht="20.100000000000001" hidden="1" customHeight="1">
      <c r="A564" s="180"/>
      <c r="B564" s="102" t="s">
        <v>1439</v>
      </c>
      <c r="C564" s="103" t="s">
        <v>328</v>
      </c>
      <c r="D564" s="104"/>
      <c r="E564" s="104">
        <v>15270000</v>
      </c>
      <c r="F564" s="175">
        <f t="shared" si="46"/>
        <v>-15270000</v>
      </c>
      <c r="G564" s="167">
        <f t="shared" si="46"/>
        <v>30540000</v>
      </c>
      <c r="H564" s="101" t="e">
        <f t="shared" si="45"/>
        <v>#VALUE!</v>
      </c>
      <c r="I564" s="101">
        <f t="shared" si="47"/>
        <v>-45810000</v>
      </c>
      <c r="J564" s="101">
        <f t="shared" si="45"/>
        <v>-300</v>
      </c>
    </row>
    <row r="565" spans="1:10" ht="20.100000000000001" hidden="1" customHeight="1">
      <c r="A565" s="180"/>
      <c r="B565" s="102" t="s">
        <v>1440</v>
      </c>
      <c r="C565" s="103" t="s">
        <v>330</v>
      </c>
      <c r="D565" s="104">
        <v>15270000</v>
      </c>
      <c r="E565" s="104">
        <v>15270000</v>
      </c>
      <c r="F565" s="175">
        <f t="shared" si="46"/>
        <v>0</v>
      </c>
      <c r="G565" s="167">
        <f t="shared" si="46"/>
        <v>15270000</v>
      </c>
      <c r="H565" s="101" t="e">
        <f t="shared" si="45"/>
        <v>#VALUE!</v>
      </c>
      <c r="I565" s="101">
        <f t="shared" si="47"/>
        <v>-15270000</v>
      </c>
      <c r="J565" s="101">
        <f t="shared" si="45"/>
        <v>-100</v>
      </c>
    </row>
    <row r="566" spans="1:10" ht="20.100000000000001" hidden="1" customHeight="1">
      <c r="A566" s="180"/>
      <c r="B566" s="102" t="s">
        <v>1441</v>
      </c>
      <c r="C566" s="103" t="s">
        <v>193</v>
      </c>
      <c r="D566" s="104"/>
      <c r="E566" s="104">
        <v>26203500</v>
      </c>
      <c r="F566" s="175">
        <f t="shared" si="46"/>
        <v>-26203500</v>
      </c>
      <c r="G566" s="167">
        <f t="shared" si="46"/>
        <v>52407000</v>
      </c>
      <c r="H566" s="101" t="e">
        <f t="shared" si="45"/>
        <v>#VALUE!</v>
      </c>
      <c r="I566" s="101">
        <f t="shared" si="47"/>
        <v>-78610500</v>
      </c>
      <c r="J566" s="101">
        <f t="shared" si="45"/>
        <v>-300</v>
      </c>
    </row>
    <row r="567" spans="1:10" ht="20.100000000000001" hidden="1" customHeight="1">
      <c r="A567" s="180"/>
      <c r="B567" s="102" t="s">
        <v>1442</v>
      </c>
      <c r="C567" s="103" t="s">
        <v>195</v>
      </c>
      <c r="D567" s="104">
        <v>26203500</v>
      </c>
      <c r="E567" s="104">
        <v>26203500</v>
      </c>
      <c r="F567" s="175">
        <f t="shared" si="46"/>
        <v>0</v>
      </c>
      <c r="G567" s="167">
        <f t="shared" si="46"/>
        <v>26203500</v>
      </c>
      <c r="H567" s="101" t="e">
        <f t="shared" si="45"/>
        <v>#VALUE!</v>
      </c>
      <c r="I567" s="101">
        <f t="shared" si="47"/>
        <v>-26203500</v>
      </c>
      <c r="J567" s="101">
        <f t="shared" si="45"/>
        <v>-100</v>
      </c>
    </row>
    <row r="568" spans="1:10" ht="20.100000000000001" hidden="1" customHeight="1">
      <c r="A568" s="180"/>
      <c r="B568" s="102" t="s">
        <v>1443</v>
      </c>
      <c r="C568" s="103" t="s">
        <v>157</v>
      </c>
      <c r="D568" s="104"/>
      <c r="E568" s="104">
        <v>134385000</v>
      </c>
      <c r="F568" s="175">
        <f t="shared" si="46"/>
        <v>-134385000</v>
      </c>
      <c r="G568" s="167">
        <f t="shared" si="46"/>
        <v>268770000</v>
      </c>
      <c r="H568" s="101" t="e">
        <f t="shared" si="45"/>
        <v>#VALUE!</v>
      </c>
      <c r="I568" s="101">
        <f t="shared" si="47"/>
        <v>-403155000</v>
      </c>
      <c r="J568" s="101">
        <f t="shared" si="45"/>
        <v>-300</v>
      </c>
    </row>
    <row r="569" spans="1:10" ht="20.100000000000001" hidden="1" customHeight="1">
      <c r="A569" s="180"/>
      <c r="B569" s="102" t="s">
        <v>1444</v>
      </c>
      <c r="C569" s="103" t="s">
        <v>159</v>
      </c>
      <c r="D569" s="104">
        <v>14760000</v>
      </c>
      <c r="E569" s="104">
        <v>14760000</v>
      </c>
      <c r="F569" s="175">
        <f t="shared" si="46"/>
        <v>0</v>
      </c>
      <c r="G569" s="167">
        <f t="shared" si="46"/>
        <v>14760000</v>
      </c>
      <c r="H569" s="101" t="e">
        <f t="shared" si="45"/>
        <v>#VALUE!</v>
      </c>
      <c r="I569" s="101">
        <f t="shared" si="47"/>
        <v>-14760000</v>
      </c>
      <c r="J569" s="101">
        <f t="shared" si="45"/>
        <v>-100</v>
      </c>
    </row>
    <row r="570" spans="1:10" ht="20.100000000000001" hidden="1" customHeight="1">
      <c r="A570" s="180"/>
      <c r="B570" s="102" t="s">
        <v>1445</v>
      </c>
      <c r="C570" s="103" t="s">
        <v>207</v>
      </c>
      <c r="D570" s="104">
        <v>119625000</v>
      </c>
      <c r="E570" s="104">
        <v>119625000</v>
      </c>
      <c r="F570" s="175">
        <f t="shared" si="46"/>
        <v>0</v>
      </c>
      <c r="G570" s="167">
        <f t="shared" si="46"/>
        <v>119625000</v>
      </c>
      <c r="H570" s="101" t="e">
        <f t="shared" si="45"/>
        <v>#VALUE!</v>
      </c>
      <c r="I570" s="101">
        <f t="shared" si="47"/>
        <v>-119625000</v>
      </c>
      <c r="J570" s="101">
        <f t="shared" si="45"/>
        <v>-100</v>
      </c>
    </row>
    <row r="571" spans="1:10" ht="20.100000000000001" hidden="1" customHeight="1">
      <c r="A571" s="180"/>
      <c r="B571" s="102" t="s">
        <v>1446</v>
      </c>
      <c r="C571" s="103" t="s">
        <v>402</v>
      </c>
      <c r="D571" s="104"/>
      <c r="E571" s="104">
        <v>27900000</v>
      </c>
      <c r="F571" s="175">
        <f t="shared" si="46"/>
        <v>-27900000</v>
      </c>
      <c r="G571" s="167">
        <f t="shared" si="46"/>
        <v>55800000</v>
      </c>
      <c r="H571" s="101" t="e">
        <f t="shared" si="45"/>
        <v>#VALUE!</v>
      </c>
      <c r="I571" s="101">
        <f t="shared" si="47"/>
        <v>-83700000</v>
      </c>
      <c r="J571" s="101">
        <f t="shared" si="45"/>
        <v>-300</v>
      </c>
    </row>
    <row r="572" spans="1:10" ht="20.100000000000001" hidden="1" customHeight="1">
      <c r="A572" s="180"/>
      <c r="B572" s="102" t="s">
        <v>1447</v>
      </c>
      <c r="C572" s="103" t="s">
        <v>404</v>
      </c>
      <c r="D572" s="104">
        <v>27900000</v>
      </c>
      <c r="E572" s="104">
        <v>27900000</v>
      </c>
      <c r="F572" s="175">
        <f t="shared" si="46"/>
        <v>0</v>
      </c>
      <c r="G572" s="167">
        <f t="shared" si="46"/>
        <v>27900000</v>
      </c>
      <c r="H572" s="101" t="e">
        <f t="shared" si="45"/>
        <v>#VALUE!</v>
      </c>
      <c r="I572" s="101">
        <f t="shared" si="47"/>
        <v>-27900000</v>
      </c>
      <c r="J572" s="101">
        <f t="shared" si="45"/>
        <v>-100</v>
      </c>
    </row>
    <row r="573" spans="1:10" ht="20.100000000000001" customHeight="1">
      <c r="A573" s="178">
        <v>33</v>
      </c>
      <c r="B573" s="193" t="s">
        <v>1448</v>
      </c>
      <c r="C573" s="195" t="s">
        <v>36</v>
      </c>
      <c r="D573" s="197">
        <f>SUM(D575:D603)</f>
        <v>286306000</v>
      </c>
      <c r="E573" s="197">
        <v>342500000</v>
      </c>
      <c r="F573" s="199">
        <f>D573-E573</f>
        <v>-56194000</v>
      </c>
      <c r="G573" s="201">
        <v>162472650</v>
      </c>
      <c r="H573" s="214">
        <f>G573/E573*100</f>
        <v>47.437270072992696</v>
      </c>
      <c r="I573" s="214">
        <f>E573-G573</f>
        <v>180027350</v>
      </c>
      <c r="J573" s="214">
        <f>I573/E573*100</f>
        <v>52.562729927007304</v>
      </c>
    </row>
    <row r="574" spans="1:10" ht="2.25" customHeight="1">
      <c r="A574" s="179"/>
      <c r="B574" s="194"/>
      <c r="C574" s="196"/>
      <c r="D574" s="198"/>
      <c r="E574" s="198"/>
      <c r="F574" s="200"/>
      <c r="G574" s="202"/>
      <c r="H574" s="215"/>
      <c r="I574" s="215"/>
      <c r="J574" s="215"/>
    </row>
    <row r="575" spans="1:10" ht="20.100000000000001" hidden="1" customHeight="1">
      <c r="A575" s="180"/>
      <c r="B575" s="102" t="s">
        <v>1449</v>
      </c>
      <c r="C575" s="103" t="s">
        <v>10</v>
      </c>
      <c r="D575" s="104"/>
      <c r="E575" s="104">
        <v>10500000</v>
      </c>
      <c r="F575" s="175">
        <f t="shared" si="46"/>
        <v>-10500000</v>
      </c>
      <c r="G575" s="167">
        <f t="shared" si="46"/>
        <v>21000000</v>
      </c>
      <c r="H575" s="101" t="e">
        <f t="shared" si="45"/>
        <v>#VALUE!</v>
      </c>
      <c r="I575" s="101">
        <f t="shared" ref="I575:I603" si="48">F575-G575</f>
        <v>-31500000</v>
      </c>
      <c r="J575" s="101">
        <f t="shared" si="45"/>
        <v>-300</v>
      </c>
    </row>
    <row r="576" spans="1:10" ht="20.100000000000001" hidden="1" customHeight="1">
      <c r="A576" s="180"/>
      <c r="B576" s="102" t="s">
        <v>1450</v>
      </c>
      <c r="C576" s="103" t="s">
        <v>177</v>
      </c>
      <c r="D576" s="104"/>
      <c r="E576" s="104">
        <v>10500000</v>
      </c>
      <c r="F576" s="175">
        <f t="shared" si="46"/>
        <v>-10500000</v>
      </c>
      <c r="G576" s="167">
        <f t="shared" si="46"/>
        <v>21000000</v>
      </c>
      <c r="H576" s="101" t="e">
        <f t="shared" si="45"/>
        <v>#VALUE!</v>
      </c>
      <c r="I576" s="101">
        <f t="shared" si="48"/>
        <v>-31500000</v>
      </c>
      <c r="J576" s="101">
        <f t="shared" si="45"/>
        <v>-300</v>
      </c>
    </row>
    <row r="577" spans="1:10" ht="20.100000000000001" hidden="1" customHeight="1">
      <c r="A577" s="180"/>
      <c r="B577" s="102" t="s">
        <v>1451</v>
      </c>
      <c r="C577" s="103" t="s">
        <v>283</v>
      </c>
      <c r="D577" s="104">
        <v>9200000</v>
      </c>
      <c r="E577" s="104">
        <v>9200000</v>
      </c>
      <c r="F577" s="175">
        <f t="shared" si="46"/>
        <v>0</v>
      </c>
      <c r="G577" s="167">
        <f t="shared" si="46"/>
        <v>9200000</v>
      </c>
      <c r="H577" s="101" t="e">
        <f t="shared" si="45"/>
        <v>#VALUE!</v>
      </c>
      <c r="I577" s="101">
        <f t="shared" si="48"/>
        <v>-9200000</v>
      </c>
      <c r="J577" s="101">
        <f t="shared" si="45"/>
        <v>-100</v>
      </c>
    </row>
    <row r="578" spans="1:10" ht="20.100000000000001" hidden="1" customHeight="1">
      <c r="A578" s="180"/>
      <c r="B578" s="102" t="s">
        <v>1452</v>
      </c>
      <c r="C578" s="103" t="s">
        <v>384</v>
      </c>
      <c r="D578" s="104">
        <v>1300000</v>
      </c>
      <c r="E578" s="104">
        <v>1300000</v>
      </c>
      <c r="F578" s="175">
        <f t="shared" si="46"/>
        <v>0</v>
      </c>
      <c r="G578" s="167">
        <f t="shared" si="46"/>
        <v>1300000</v>
      </c>
      <c r="H578" s="101" t="e">
        <f t="shared" si="45"/>
        <v>#VALUE!</v>
      </c>
      <c r="I578" s="101">
        <f t="shared" si="48"/>
        <v>-1300000</v>
      </c>
      <c r="J578" s="101">
        <f t="shared" si="45"/>
        <v>-100</v>
      </c>
    </row>
    <row r="579" spans="1:10" ht="20.100000000000001" hidden="1" customHeight="1">
      <c r="A579" s="180"/>
      <c r="B579" s="102" t="s">
        <v>1453</v>
      </c>
      <c r="C579" s="103" t="s">
        <v>143</v>
      </c>
      <c r="D579" s="104"/>
      <c r="E579" s="104">
        <v>209306000</v>
      </c>
      <c r="F579" s="175">
        <f t="shared" si="46"/>
        <v>-209306000</v>
      </c>
      <c r="G579" s="167">
        <f t="shared" si="46"/>
        <v>418612000</v>
      </c>
      <c r="H579" s="101" t="e">
        <f t="shared" si="45"/>
        <v>#VALUE!</v>
      </c>
      <c r="I579" s="101">
        <f t="shared" si="48"/>
        <v>-627918000</v>
      </c>
      <c r="J579" s="101">
        <f t="shared" si="45"/>
        <v>-300</v>
      </c>
    </row>
    <row r="580" spans="1:10" ht="20.100000000000001" hidden="1" customHeight="1">
      <c r="A580" s="180"/>
      <c r="B580" s="102" t="s">
        <v>1454</v>
      </c>
      <c r="C580" s="103" t="s">
        <v>145</v>
      </c>
      <c r="D580" s="104"/>
      <c r="E580" s="104">
        <v>1291000</v>
      </c>
      <c r="F580" s="175">
        <f t="shared" si="46"/>
        <v>-1291000</v>
      </c>
      <c r="G580" s="167">
        <f t="shared" si="46"/>
        <v>2582000</v>
      </c>
      <c r="H580" s="101" t="e">
        <f t="shared" si="45"/>
        <v>#VALUE!</v>
      </c>
      <c r="I580" s="101">
        <f t="shared" si="48"/>
        <v>-3873000</v>
      </c>
      <c r="J580" s="101">
        <f t="shared" si="45"/>
        <v>-300</v>
      </c>
    </row>
    <row r="581" spans="1:10" ht="20.100000000000001" hidden="1" customHeight="1">
      <c r="A581" s="180"/>
      <c r="B581" s="102" t="s">
        <v>1455</v>
      </c>
      <c r="C581" s="103" t="s">
        <v>147</v>
      </c>
      <c r="D581" s="104">
        <v>1291000</v>
      </c>
      <c r="E581" s="104">
        <v>1291000</v>
      </c>
      <c r="F581" s="175">
        <f t="shared" si="46"/>
        <v>0</v>
      </c>
      <c r="G581" s="167">
        <f t="shared" si="46"/>
        <v>1291000</v>
      </c>
      <c r="H581" s="101" t="e">
        <f t="shared" si="45"/>
        <v>#VALUE!</v>
      </c>
      <c r="I581" s="101">
        <f t="shared" si="48"/>
        <v>-1291000</v>
      </c>
      <c r="J581" s="101">
        <f t="shared" si="45"/>
        <v>-100</v>
      </c>
    </row>
    <row r="582" spans="1:10" ht="20.100000000000001" hidden="1" customHeight="1">
      <c r="A582" s="180"/>
      <c r="B582" s="102" t="s">
        <v>1456</v>
      </c>
      <c r="C582" s="103" t="s">
        <v>389</v>
      </c>
      <c r="D582" s="104"/>
      <c r="E582" s="104">
        <v>7417500</v>
      </c>
      <c r="F582" s="175">
        <f t="shared" si="46"/>
        <v>-7417500</v>
      </c>
      <c r="G582" s="167">
        <f t="shared" si="46"/>
        <v>14835000</v>
      </c>
      <c r="H582" s="101" t="e">
        <f t="shared" si="45"/>
        <v>#VALUE!</v>
      </c>
      <c r="I582" s="101">
        <f t="shared" si="48"/>
        <v>-22252500</v>
      </c>
      <c r="J582" s="101">
        <f t="shared" si="45"/>
        <v>-300</v>
      </c>
    </row>
    <row r="583" spans="1:10" ht="20.100000000000001" hidden="1" customHeight="1">
      <c r="A583" s="180"/>
      <c r="B583" s="102" t="s">
        <v>1457</v>
      </c>
      <c r="C583" s="103" t="s">
        <v>391</v>
      </c>
      <c r="D583" s="104">
        <v>7417500</v>
      </c>
      <c r="E583" s="104">
        <v>7417500</v>
      </c>
      <c r="F583" s="175">
        <f t="shared" si="46"/>
        <v>0</v>
      </c>
      <c r="G583" s="167">
        <f t="shared" si="46"/>
        <v>7417500</v>
      </c>
      <c r="H583" s="101" t="e">
        <f t="shared" si="45"/>
        <v>#VALUE!</v>
      </c>
      <c r="I583" s="101">
        <f t="shared" si="48"/>
        <v>-7417500</v>
      </c>
      <c r="J583" s="101">
        <f t="shared" si="45"/>
        <v>-100</v>
      </c>
    </row>
    <row r="584" spans="1:10" ht="20.100000000000001" hidden="1" customHeight="1">
      <c r="A584" s="180"/>
      <c r="B584" s="102" t="s">
        <v>1458</v>
      </c>
      <c r="C584" s="103" t="s">
        <v>163</v>
      </c>
      <c r="D584" s="104"/>
      <c r="E584" s="104">
        <v>30960000</v>
      </c>
      <c r="F584" s="175">
        <f t="shared" si="46"/>
        <v>-30960000</v>
      </c>
      <c r="G584" s="167">
        <f t="shared" si="46"/>
        <v>61920000</v>
      </c>
      <c r="H584" s="101" t="e">
        <f t="shared" si="45"/>
        <v>#VALUE!</v>
      </c>
      <c r="I584" s="101">
        <f t="shared" si="48"/>
        <v>-92880000</v>
      </c>
      <c r="J584" s="101">
        <f t="shared" si="45"/>
        <v>-300</v>
      </c>
    </row>
    <row r="585" spans="1:10" ht="20.100000000000001" hidden="1" customHeight="1">
      <c r="A585" s="180"/>
      <c r="B585" s="102" t="s">
        <v>1459</v>
      </c>
      <c r="C585" s="103" t="s">
        <v>349</v>
      </c>
      <c r="D585" s="104">
        <v>960000</v>
      </c>
      <c r="E585" s="104">
        <v>960000</v>
      </c>
      <c r="F585" s="175">
        <f t="shared" si="46"/>
        <v>0</v>
      </c>
      <c r="G585" s="167">
        <f t="shared" si="46"/>
        <v>960000</v>
      </c>
      <c r="H585" s="101" t="e">
        <f t="shared" si="45"/>
        <v>#VALUE!</v>
      </c>
      <c r="I585" s="101">
        <f t="shared" si="48"/>
        <v>-960000</v>
      </c>
      <c r="J585" s="101">
        <f t="shared" si="45"/>
        <v>-100</v>
      </c>
    </row>
    <row r="586" spans="1:10" ht="20.100000000000001" hidden="1" customHeight="1">
      <c r="A586" s="180"/>
      <c r="B586" s="102" t="s">
        <v>1460</v>
      </c>
      <c r="C586" s="103" t="s">
        <v>615</v>
      </c>
      <c r="D586" s="104">
        <v>6000000</v>
      </c>
      <c r="E586" s="104">
        <v>6000000</v>
      </c>
      <c r="F586" s="175">
        <f t="shared" si="46"/>
        <v>0</v>
      </c>
      <c r="G586" s="167">
        <f t="shared" si="46"/>
        <v>6000000</v>
      </c>
      <c r="H586" s="101" t="e">
        <f t="shared" ref="H586:J649" si="49">G586/C586*100</f>
        <v>#VALUE!</v>
      </c>
      <c r="I586" s="101">
        <f t="shared" si="48"/>
        <v>-6000000</v>
      </c>
      <c r="J586" s="101">
        <f t="shared" si="49"/>
        <v>-100</v>
      </c>
    </row>
    <row r="587" spans="1:10" ht="20.100000000000001" hidden="1" customHeight="1">
      <c r="A587" s="180"/>
      <c r="B587" s="102" t="s">
        <v>1461</v>
      </c>
      <c r="C587" s="103" t="s">
        <v>352</v>
      </c>
      <c r="D587" s="104">
        <v>24000000</v>
      </c>
      <c r="E587" s="104">
        <v>24000000</v>
      </c>
      <c r="F587" s="175">
        <f t="shared" ref="F587:G650" si="50">D587-E587</f>
        <v>0</v>
      </c>
      <c r="G587" s="167">
        <f t="shared" si="50"/>
        <v>24000000</v>
      </c>
      <c r="H587" s="101" t="e">
        <f t="shared" si="49"/>
        <v>#VALUE!</v>
      </c>
      <c r="I587" s="101">
        <f t="shared" si="48"/>
        <v>-24000000</v>
      </c>
      <c r="J587" s="101">
        <f t="shared" si="49"/>
        <v>-100</v>
      </c>
    </row>
    <row r="588" spans="1:10" ht="20.100000000000001" hidden="1" customHeight="1">
      <c r="A588" s="180"/>
      <c r="B588" s="102" t="s">
        <v>1462</v>
      </c>
      <c r="C588" s="103" t="s">
        <v>151</v>
      </c>
      <c r="D588" s="104"/>
      <c r="E588" s="104">
        <v>4570000</v>
      </c>
      <c r="F588" s="175">
        <f t="shared" si="50"/>
        <v>-4570000</v>
      </c>
      <c r="G588" s="167">
        <f t="shared" si="50"/>
        <v>9140000</v>
      </c>
      <c r="H588" s="101" t="e">
        <f t="shared" si="49"/>
        <v>#VALUE!</v>
      </c>
      <c r="I588" s="101">
        <f t="shared" si="48"/>
        <v>-13710000</v>
      </c>
      <c r="J588" s="101">
        <f t="shared" si="49"/>
        <v>-300</v>
      </c>
    </row>
    <row r="589" spans="1:10" ht="20.100000000000001" hidden="1" customHeight="1">
      <c r="A589" s="180"/>
      <c r="B589" s="102" t="s">
        <v>1463</v>
      </c>
      <c r="C589" s="103" t="s">
        <v>153</v>
      </c>
      <c r="D589" s="104">
        <v>3500000</v>
      </c>
      <c r="E589" s="104">
        <v>3500000</v>
      </c>
      <c r="F589" s="175">
        <f t="shared" si="50"/>
        <v>0</v>
      </c>
      <c r="G589" s="167">
        <f t="shared" si="50"/>
        <v>3500000</v>
      </c>
      <c r="H589" s="101" t="e">
        <f t="shared" si="49"/>
        <v>#VALUE!</v>
      </c>
      <c r="I589" s="101">
        <f t="shared" si="48"/>
        <v>-3500000</v>
      </c>
      <c r="J589" s="101">
        <f t="shared" si="49"/>
        <v>-100</v>
      </c>
    </row>
    <row r="590" spans="1:10" ht="20.100000000000001" hidden="1" customHeight="1">
      <c r="A590" s="180"/>
      <c r="B590" s="102" t="s">
        <v>1464</v>
      </c>
      <c r="C590" s="103" t="s">
        <v>155</v>
      </c>
      <c r="D590" s="104">
        <v>920000</v>
      </c>
      <c r="E590" s="104">
        <v>920000</v>
      </c>
      <c r="F590" s="175">
        <f t="shared" si="50"/>
        <v>0</v>
      </c>
      <c r="G590" s="167">
        <f t="shared" si="50"/>
        <v>920000</v>
      </c>
      <c r="H590" s="101" t="e">
        <f t="shared" si="49"/>
        <v>#VALUE!</v>
      </c>
      <c r="I590" s="101">
        <f t="shared" si="48"/>
        <v>-920000</v>
      </c>
      <c r="J590" s="101">
        <f t="shared" si="49"/>
        <v>-100</v>
      </c>
    </row>
    <row r="591" spans="1:10" ht="20.100000000000001" hidden="1" customHeight="1">
      <c r="A591" s="180"/>
      <c r="B591" s="102" t="s">
        <v>1465</v>
      </c>
      <c r="C591" s="103" t="s">
        <v>309</v>
      </c>
      <c r="D591" s="104">
        <v>150000</v>
      </c>
      <c r="E591" s="104">
        <v>150000</v>
      </c>
      <c r="F591" s="175">
        <f t="shared" si="50"/>
        <v>0</v>
      </c>
      <c r="G591" s="167">
        <f t="shared" si="50"/>
        <v>150000</v>
      </c>
      <c r="H591" s="101" t="e">
        <f t="shared" si="49"/>
        <v>#VALUE!</v>
      </c>
      <c r="I591" s="101">
        <f t="shared" si="48"/>
        <v>-150000</v>
      </c>
      <c r="J591" s="101">
        <f t="shared" si="49"/>
        <v>-100</v>
      </c>
    </row>
    <row r="592" spans="1:10" ht="20.100000000000001" hidden="1" customHeight="1">
      <c r="A592" s="180"/>
      <c r="B592" s="102" t="s">
        <v>1466</v>
      </c>
      <c r="C592" s="103" t="s">
        <v>712</v>
      </c>
      <c r="D592" s="104"/>
      <c r="E592" s="104">
        <v>3750000</v>
      </c>
      <c r="F592" s="175">
        <f t="shared" si="50"/>
        <v>-3750000</v>
      </c>
      <c r="G592" s="167">
        <f t="shared" si="50"/>
        <v>7500000</v>
      </c>
      <c r="H592" s="101" t="e">
        <f t="shared" si="49"/>
        <v>#VALUE!</v>
      </c>
      <c r="I592" s="101">
        <f t="shared" si="48"/>
        <v>-11250000</v>
      </c>
      <c r="J592" s="101">
        <f t="shared" si="49"/>
        <v>-300</v>
      </c>
    </row>
    <row r="593" spans="1:10" ht="20.100000000000001" hidden="1" customHeight="1">
      <c r="A593" s="180"/>
      <c r="B593" s="102" t="s">
        <v>1467</v>
      </c>
      <c r="C593" s="103" t="s">
        <v>714</v>
      </c>
      <c r="D593" s="104">
        <v>3750000</v>
      </c>
      <c r="E593" s="104">
        <v>3750000</v>
      </c>
      <c r="F593" s="175">
        <f t="shared" si="50"/>
        <v>0</v>
      </c>
      <c r="G593" s="167">
        <f t="shared" si="50"/>
        <v>3750000</v>
      </c>
      <c r="H593" s="101" t="e">
        <f t="shared" si="49"/>
        <v>#VALUE!</v>
      </c>
      <c r="I593" s="101">
        <f t="shared" si="48"/>
        <v>-3750000</v>
      </c>
      <c r="J593" s="101">
        <f t="shared" si="49"/>
        <v>-100</v>
      </c>
    </row>
    <row r="594" spans="1:10" ht="20.100000000000001" hidden="1" customHeight="1">
      <c r="A594" s="180"/>
      <c r="B594" s="102" t="s">
        <v>1468</v>
      </c>
      <c r="C594" s="103" t="s">
        <v>193</v>
      </c>
      <c r="D594" s="104"/>
      <c r="E594" s="104">
        <v>36247500</v>
      </c>
      <c r="F594" s="175">
        <f t="shared" si="50"/>
        <v>-36247500</v>
      </c>
      <c r="G594" s="167">
        <f t="shared" si="50"/>
        <v>72495000</v>
      </c>
      <c r="H594" s="101" t="e">
        <f t="shared" si="49"/>
        <v>#VALUE!</v>
      </c>
      <c r="I594" s="101">
        <f t="shared" si="48"/>
        <v>-108742500</v>
      </c>
      <c r="J594" s="101">
        <f t="shared" si="49"/>
        <v>-300</v>
      </c>
    </row>
    <row r="595" spans="1:10" ht="20.100000000000001" hidden="1" customHeight="1">
      <c r="A595" s="180"/>
      <c r="B595" s="102" t="s">
        <v>1469</v>
      </c>
      <c r="C595" s="103" t="s">
        <v>195</v>
      </c>
      <c r="D595" s="104">
        <v>36247500</v>
      </c>
      <c r="E595" s="104">
        <v>36247500</v>
      </c>
      <c r="F595" s="175">
        <f t="shared" si="50"/>
        <v>0</v>
      </c>
      <c r="G595" s="167">
        <f t="shared" si="50"/>
        <v>36247500</v>
      </c>
      <c r="H595" s="101" t="e">
        <f t="shared" si="49"/>
        <v>#VALUE!</v>
      </c>
      <c r="I595" s="101">
        <f t="shared" si="48"/>
        <v>-36247500</v>
      </c>
      <c r="J595" s="101">
        <f t="shared" si="49"/>
        <v>-100</v>
      </c>
    </row>
    <row r="596" spans="1:10" ht="20.100000000000001" hidden="1" customHeight="1">
      <c r="A596" s="180"/>
      <c r="B596" s="102" t="s">
        <v>1470</v>
      </c>
      <c r="C596" s="103" t="s">
        <v>157</v>
      </c>
      <c r="D596" s="104"/>
      <c r="E596" s="104">
        <v>26370000</v>
      </c>
      <c r="F596" s="175">
        <f t="shared" si="50"/>
        <v>-26370000</v>
      </c>
      <c r="G596" s="167">
        <f t="shared" si="50"/>
        <v>52740000</v>
      </c>
      <c r="H596" s="101" t="e">
        <f t="shared" si="49"/>
        <v>#VALUE!</v>
      </c>
      <c r="I596" s="101">
        <f t="shared" si="48"/>
        <v>-79110000</v>
      </c>
      <c r="J596" s="101">
        <f t="shared" si="49"/>
        <v>-300</v>
      </c>
    </row>
    <row r="597" spans="1:10" ht="20.100000000000001" hidden="1" customHeight="1">
      <c r="A597" s="180"/>
      <c r="B597" s="102" t="s">
        <v>1471</v>
      </c>
      <c r="C597" s="103" t="s">
        <v>159</v>
      </c>
      <c r="D597" s="104">
        <v>17270000</v>
      </c>
      <c r="E597" s="104">
        <v>17270000</v>
      </c>
      <c r="F597" s="175">
        <f t="shared" si="50"/>
        <v>0</v>
      </c>
      <c r="G597" s="167">
        <f t="shared" si="50"/>
        <v>17270000</v>
      </c>
      <c r="H597" s="101" t="e">
        <f t="shared" si="49"/>
        <v>#VALUE!</v>
      </c>
      <c r="I597" s="101">
        <f t="shared" si="48"/>
        <v>-17270000</v>
      </c>
      <c r="J597" s="101">
        <f t="shared" si="49"/>
        <v>-100</v>
      </c>
    </row>
    <row r="598" spans="1:10" ht="20.100000000000001" hidden="1" customHeight="1">
      <c r="A598" s="180"/>
      <c r="B598" s="102" t="s">
        <v>1472</v>
      </c>
      <c r="C598" s="103" t="s">
        <v>207</v>
      </c>
      <c r="D598" s="104">
        <v>9100000</v>
      </c>
      <c r="E598" s="104">
        <v>9100000</v>
      </c>
      <c r="F598" s="175">
        <f t="shared" si="50"/>
        <v>0</v>
      </c>
      <c r="G598" s="167">
        <f t="shared" si="50"/>
        <v>9100000</v>
      </c>
      <c r="H598" s="101" t="e">
        <f t="shared" si="49"/>
        <v>#VALUE!</v>
      </c>
      <c r="I598" s="101">
        <f t="shared" si="48"/>
        <v>-9100000</v>
      </c>
      <c r="J598" s="101">
        <f t="shared" si="49"/>
        <v>-100</v>
      </c>
    </row>
    <row r="599" spans="1:10" ht="20.100000000000001" hidden="1" customHeight="1">
      <c r="A599" s="180"/>
      <c r="B599" s="102" t="s">
        <v>1473</v>
      </c>
      <c r="C599" s="103" t="s">
        <v>402</v>
      </c>
      <c r="D599" s="104"/>
      <c r="E599" s="104">
        <v>98700000</v>
      </c>
      <c r="F599" s="175">
        <f t="shared" si="50"/>
        <v>-98700000</v>
      </c>
      <c r="G599" s="167">
        <f t="shared" si="50"/>
        <v>197400000</v>
      </c>
      <c r="H599" s="101" t="e">
        <f t="shared" si="49"/>
        <v>#VALUE!</v>
      </c>
      <c r="I599" s="101">
        <f t="shared" si="48"/>
        <v>-296100000</v>
      </c>
      <c r="J599" s="101">
        <f t="shared" si="49"/>
        <v>-300</v>
      </c>
    </row>
    <row r="600" spans="1:10" ht="20.100000000000001" hidden="1" customHeight="1">
      <c r="A600" s="180"/>
      <c r="B600" s="102" t="s">
        <v>1474</v>
      </c>
      <c r="C600" s="103" t="s">
        <v>404</v>
      </c>
      <c r="D600" s="104">
        <v>98700000</v>
      </c>
      <c r="E600" s="104">
        <v>98700000</v>
      </c>
      <c r="F600" s="175">
        <f t="shared" si="50"/>
        <v>0</v>
      </c>
      <c r="G600" s="167">
        <f t="shared" si="50"/>
        <v>98700000</v>
      </c>
      <c r="H600" s="101" t="e">
        <f t="shared" si="49"/>
        <v>#VALUE!</v>
      </c>
      <c r="I600" s="101">
        <f t="shared" si="48"/>
        <v>-98700000</v>
      </c>
      <c r="J600" s="101">
        <f t="shared" si="49"/>
        <v>-100</v>
      </c>
    </row>
    <row r="601" spans="1:10" ht="20.100000000000001" hidden="1" customHeight="1">
      <c r="A601" s="180"/>
      <c r="B601" s="102" t="s">
        <v>1475</v>
      </c>
      <c r="C601" s="103" t="s">
        <v>270</v>
      </c>
      <c r="D601" s="104"/>
      <c r="E601" s="104">
        <v>66500000</v>
      </c>
      <c r="F601" s="175">
        <f t="shared" si="50"/>
        <v>-66500000</v>
      </c>
      <c r="G601" s="167">
        <f t="shared" si="50"/>
        <v>133000000</v>
      </c>
      <c r="H601" s="101" t="e">
        <f t="shared" si="49"/>
        <v>#VALUE!</v>
      </c>
      <c r="I601" s="101">
        <f t="shared" si="48"/>
        <v>-199500000</v>
      </c>
      <c r="J601" s="101">
        <f t="shared" si="49"/>
        <v>-300</v>
      </c>
    </row>
    <row r="602" spans="1:10" ht="20.100000000000001" hidden="1" customHeight="1">
      <c r="A602" s="180"/>
      <c r="B602" s="102" t="s">
        <v>1476</v>
      </c>
      <c r="C602" s="103" t="s">
        <v>1477</v>
      </c>
      <c r="D602" s="104"/>
      <c r="E602" s="104">
        <v>66500000</v>
      </c>
      <c r="F602" s="175">
        <f t="shared" si="50"/>
        <v>-66500000</v>
      </c>
      <c r="G602" s="167">
        <f t="shared" si="50"/>
        <v>133000000</v>
      </c>
      <c r="H602" s="101" t="e">
        <f t="shared" si="49"/>
        <v>#VALUE!</v>
      </c>
      <c r="I602" s="101">
        <f t="shared" si="48"/>
        <v>-199500000</v>
      </c>
      <c r="J602" s="101">
        <f t="shared" si="49"/>
        <v>-300</v>
      </c>
    </row>
    <row r="603" spans="1:10" ht="20.100000000000001" hidden="1" customHeight="1">
      <c r="A603" s="180"/>
      <c r="B603" s="102" t="s">
        <v>1478</v>
      </c>
      <c r="C603" s="103" t="s">
        <v>1479</v>
      </c>
      <c r="D603" s="104">
        <v>66500000</v>
      </c>
      <c r="E603" s="104">
        <v>66500000</v>
      </c>
      <c r="F603" s="175">
        <f t="shared" si="50"/>
        <v>0</v>
      </c>
      <c r="G603" s="167">
        <f t="shared" si="50"/>
        <v>66500000</v>
      </c>
      <c r="H603" s="101" t="e">
        <f t="shared" si="49"/>
        <v>#VALUE!</v>
      </c>
      <c r="I603" s="101">
        <f t="shared" si="48"/>
        <v>-66500000</v>
      </c>
      <c r="J603" s="101">
        <f t="shared" si="49"/>
        <v>-100</v>
      </c>
    </row>
    <row r="604" spans="1:10" ht="20.100000000000001" customHeight="1">
      <c r="A604" s="176" t="s">
        <v>748</v>
      </c>
      <c r="B604" s="106" t="s">
        <v>1480</v>
      </c>
      <c r="C604" s="107" t="s">
        <v>8</v>
      </c>
      <c r="D604" s="108">
        <f>D605+D618</f>
        <v>175160000</v>
      </c>
      <c r="E604" s="108">
        <f>E605+E618</f>
        <v>194000000</v>
      </c>
      <c r="F604" s="177">
        <f t="shared" si="50"/>
        <v>-18840000</v>
      </c>
      <c r="G604" s="169">
        <f>G605+G618</f>
        <v>86220125</v>
      </c>
      <c r="H604" s="110">
        <f>G604/E604*100</f>
        <v>44.443363402061856</v>
      </c>
      <c r="I604" s="109">
        <f>I605+I618</f>
        <v>107779875</v>
      </c>
      <c r="J604" s="110">
        <f t="shared" si="49"/>
        <v>55.556636597938144</v>
      </c>
    </row>
    <row r="605" spans="1:10" ht="20.100000000000001" customHeight="1">
      <c r="A605" s="178">
        <v>34</v>
      </c>
      <c r="B605" s="193" t="s">
        <v>1481</v>
      </c>
      <c r="C605" s="195" t="s">
        <v>319</v>
      </c>
      <c r="D605" s="197">
        <f>SUM(D607:D617)</f>
        <v>80748000</v>
      </c>
      <c r="E605" s="197">
        <f>'rekap REALISASI REKO '!AB155</f>
        <v>100000000</v>
      </c>
      <c r="F605" s="199">
        <f>D605-E605</f>
        <v>-19252000</v>
      </c>
      <c r="G605" s="201">
        <v>65785200</v>
      </c>
      <c r="H605" s="214">
        <f>G605/E605*100</f>
        <v>65.785200000000003</v>
      </c>
      <c r="I605" s="214">
        <f>E605-G605</f>
        <v>34214800</v>
      </c>
      <c r="J605" s="214">
        <f>I605/E605*100</f>
        <v>34.214800000000004</v>
      </c>
    </row>
    <row r="606" spans="1:10" ht="31.5" customHeight="1">
      <c r="A606" s="179"/>
      <c r="B606" s="194"/>
      <c r="C606" s="196"/>
      <c r="D606" s="198"/>
      <c r="E606" s="198"/>
      <c r="F606" s="200"/>
      <c r="G606" s="202"/>
      <c r="H606" s="215"/>
      <c r="I606" s="215"/>
      <c r="J606" s="215"/>
    </row>
    <row r="607" spans="1:10" ht="20.100000000000001" hidden="1" customHeight="1">
      <c r="A607" s="180"/>
      <c r="B607" s="102" t="s">
        <v>1482</v>
      </c>
      <c r="C607" s="103" t="s">
        <v>143</v>
      </c>
      <c r="D607" s="104"/>
      <c r="E607" s="104">
        <v>80748000</v>
      </c>
      <c r="F607" s="175">
        <f t="shared" si="50"/>
        <v>-80748000</v>
      </c>
      <c r="G607" s="167">
        <f t="shared" si="50"/>
        <v>161496000</v>
      </c>
      <c r="H607" s="101" t="e">
        <f t="shared" si="49"/>
        <v>#VALUE!</v>
      </c>
      <c r="I607" s="101">
        <f t="shared" ref="I607:I617" si="51">F607-G607</f>
        <v>-242244000</v>
      </c>
      <c r="J607" s="101">
        <f t="shared" si="49"/>
        <v>-300</v>
      </c>
    </row>
    <row r="608" spans="1:10" ht="20.100000000000001" hidden="1" customHeight="1">
      <c r="A608" s="180"/>
      <c r="B608" s="102" t="s">
        <v>1483</v>
      </c>
      <c r="C608" s="103" t="s">
        <v>145</v>
      </c>
      <c r="D608" s="104"/>
      <c r="E608" s="104">
        <v>726000</v>
      </c>
      <c r="F608" s="175">
        <f t="shared" si="50"/>
        <v>-726000</v>
      </c>
      <c r="G608" s="167">
        <f t="shared" si="50"/>
        <v>1452000</v>
      </c>
      <c r="H608" s="101" t="e">
        <f t="shared" si="49"/>
        <v>#VALUE!</v>
      </c>
      <c r="I608" s="101">
        <f t="shared" si="51"/>
        <v>-2178000</v>
      </c>
      <c r="J608" s="101">
        <f t="shared" si="49"/>
        <v>-300</v>
      </c>
    </row>
    <row r="609" spans="1:10" ht="20.100000000000001" hidden="1" customHeight="1">
      <c r="A609" s="180"/>
      <c r="B609" s="102" t="s">
        <v>1484</v>
      </c>
      <c r="C609" s="103" t="s">
        <v>147</v>
      </c>
      <c r="D609" s="104">
        <v>510000</v>
      </c>
      <c r="E609" s="104">
        <v>510000</v>
      </c>
      <c r="F609" s="175">
        <f t="shared" si="50"/>
        <v>0</v>
      </c>
      <c r="G609" s="167">
        <f t="shared" si="50"/>
        <v>510000</v>
      </c>
      <c r="H609" s="101" t="e">
        <f t="shared" si="49"/>
        <v>#VALUE!</v>
      </c>
      <c r="I609" s="101">
        <f t="shared" si="51"/>
        <v>-510000</v>
      </c>
      <c r="J609" s="101">
        <f t="shared" si="49"/>
        <v>-100</v>
      </c>
    </row>
    <row r="610" spans="1:10" ht="20.100000000000001" hidden="1" customHeight="1">
      <c r="A610" s="180"/>
      <c r="B610" s="102" t="s">
        <v>1485</v>
      </c>
      <c r="C610" s="103" t="s">
        <v>149</v>
      </c>
      <c r="D610" s="104">
        <v>216000</v>
      </c>
      <c r="E610" s="104">
        <v>216000</v>
      </c>
      <c r="F610" s="175">
        <f t="shared" si="50"/>
        <v>0</v>
      </c>
      <c r="G610" s="167">
        <f t="shared" si="50"/>
        <v>216000</v>
      </c>
      <c r="H610" s="101" t="e">
        <f t="shared" si="49"/>
        <v>#VALUE!</v>
      </c>
      <c r="I610" s="101">
        <f t="shared" si="51"/>
        <v>-216000</v>
      </c>
      <c r="J610" s="101">
        <f t="shared" si="49"/>
        <v>-100</v>
      </c>
    </row>
    <row r="611" spans="1:10" ht="20.100000000000001" hidden="1" customHeight="1">
      <c r="A611" s="180"/>
      <c r="B611" s="102" t="s">
        <v>1486</v>
      </c>
      <c r="C611" s="103" t="s">
        <v>151</v>
      </c>
      <c r="D611" s="104"/>
      <c r="E611" s="104">
        <v>447000</v>
      </c>
      <c r="F611" s="175">
        <f t="shared" si="50"/>
        <v>-447000</v>
      </c>
      <c r="G611" s="167">
        <f t="shared" si="50"/>
        <v>894000</v>
      </c>
      <c r="H611" s="101" t="e">
        <f t="shared" si="49"/>
        <v>#VALUE!</v>
      </c>
      <c r="I611" s="101">
        <f t="shared" si="51"/>
        <v>-1341000</v>
      </c>
      <c r="J611" s="101">
        <f t="shared" si="49"/>
        <v>-300</v>
      </c>
    </row>
    <row r="612" spans="1:10" ht="20.100000000000001" hidden="1" customHeight="1">
      <c r="A612" s="180"/>
      <c r="B612" s="102" t="s">
        <v>1487</v>
      </c>
      <c r="C612" s="103" t="s">
        <v>155</v>
      </c>
      <c r="D612" s="104">
        <v>447000</v>
      </c>
      <c r="E612" s="104">
        <v>447000</v>
      </c>
      <c r="F612" s="175">
        <f t="shared" si="50"/>
        <v>0</v>
      </c>
      <c r="G612" s="167">
        <f t="shared" si="50"/>
        <v>447000</v>
      </c>
      <c r="H612" s="101" t="e">
        <f t="shared" si="49"/>
        <v>#VALUE!</v>
      </c>
      <c r="I612" s="101">
        <f t="shared" si="51"/>
        <v>-447000</v>
      </c>
      <c r="J612" s="101">
        <f t="shared" si="49"/>
        <v>-100</v>
      </c>
    </row>
    <row r="613" spans="1:10" ht="20.100000000000001" hidden="1" customHeight="1">
      <c r="A613" s="180"/>
      <c r="B613" s="102" t="s">
        <v>1488</v>
      </c>
      <c r="C613" s="103" t="s">
        <v>328</v>
      </c>
      <c r="D613" s="104"/>
      <c r="E613" s="104">
        <v>7500000</v>
      </c>
      <c r="F613" s="175">
        <f t="shared" si="50"/>
        <v>-7500000</v>
      </c>
      <c r="G613" s="167">
        <f t="shared" si="50"/>
        <v>15000000</v>
      </c>
      <c r="H613" s="101" t="e">
        <f t="shared" si="49"/>
        <v>#VALUE!</v>
      </c>
      <c r="I613" s="101">
        <f t="shared" si="51"/>
        <v>-22500000</v>
      </c>
      <c r="J613" s="101">
        <f t="shared" si="49"/>
        <v>-300</v>
      </c>
    </row>
    <row r="614" spans="1:10" ht="20.100000000000001" hidden="1" customHeight="1">
      <c r="A614" s="180"/>
      <c r="B614" s="102" t="s">
        <v>1489</v>
      </c>
      <c r="C614" s="103" t="s">
        <v>330</v>
      </c>
      <c r="D614" s="104">
        <v>7500000</v>
      </c>
      <c r="E614" s="104">
        <v>7500000</v>
      </c>
      <c r="F614" s="175">
        <f t="shared" si="50"/>
        <v>0</v>
      </c>
      <c r="G614" s="167">
        <f t="shared" si="50"/>
        <v>7500000</v>
      </c>
      <c r="H614" s="101" t="e">
        <f t="shared" si="49"/>
        <v>#VALUE!</v>
      </c>
      <c r="I614" s="101">
        <f t="shared" si="51"/>
        <v>-7500000</v>
      </c>
      <c r="J614" s="101">
        <f t="shared" si="49"/>
        <v>-100</v>
      </c>
    </row>
    <row r="615" spans="1:10" ht="20.100000000000001" hidden="1" customHeight="1">
      <c r="A615" s="180"/>
      <c r="B615" s="102" t="s">
        <v>1490</v>
      </c>
      <c r="C615" s="103" t="s">
        <v>157</v>
      </c>
      <c r="D615" s="104"/>
      <c r="E615" s="104">
        <v>72075000</v>
      </c>
      <c r="F615" s="175">
        <f t="shared" si="50"/>
        <v>-72075000</v>
      </c>
      <c r="G615" s="167">
        <f t="shared" si="50"/>
        <v>144150000</v>
      </c>
      <c r="H615" s="101" t="e">
        <f t="shared" si="49"/>
        <v>#VALUE!</v>
      </c>
      <c r="I615" s="101">
        <f t="shared" si="51"/>
        <v>-216225000</v>
      </c>
      <c r="J615" s="101">
        <f t="shared" si="49"/>
        <v>-300</v>
      </c>
    </row>
    <row r="616" spans="1:10" ht="20.100000000000001" hidden="1" customHeight="1">
      <c r="A616" s="180"/>
      <c r="B616" s="102" t="s">
        <v>1491</v>
      </c>
      <c r="C616" s="103" t="s">
        <v>159</v>
      </c>
      <c r="D616" s="104">
        <v>1100000</v>
      </c>
      <c r="E616" s="104">
        <v>1100000</v>
      </c>
      <c r="F616" s="175">
        <f t="shared" si="50"/>
        <v>0</v>
      </c>
      <c r="G616" s="167">
        <f t="shared" si="50"/>
        <v>1100000</v>
      </c>
      <c r="H616" s="101" t="e">
        <f t="shared" si="49"/>
        <v>#VALUE!</v>
      </c>
      <c r="I616" s="101">
        <f t="shared" si="51"/>
        <v>-1100000</v>
      </c>
      <c r="J616" s="101">
        <f t="shared" si="49"/>
        <v>-100</v>
      </c>
    </row>
    <row r="617" spans="1:10" ht="20.100000000000001" hidden="1" customHeight="1">
      <c r="A617" s="180"/>
      <c r="B617" s="102" t="s">
        <v>1492</v>
      </c>
      <c r="C617" s="103" t="s">
        <v>207</v>
      </c>
      <c r="D617" s="104">
        <v>70975000</v>
      </c>
      <c r="E617" s="104">
        <v>70975000</v>
      </c>
      <c r="F617" s="175">
        <f t="shared" si="50"/>
        <v>0</v>
      </c>
      <c r="G617" s="167">
        <f t="shared" si="50"/>
        <v>70975000</v>
      </c>
      <c r="H617" s="101" t="e">
        <f t="shared" si="49"/>
        <v>#VALUE!</v>
      </c>
      <c r="I617" s="101">
        <f t="shared" si="51"/>
        <v>-70975000</v>
      </c>
      <c r="J617" s="101">
        <f t="shared" si="49"/>
        <v>-100</v>
      </c>
    </row>
    <row r="618" spans="1:10" ht="20.100000000000001" customHeight="1">
      <c r="A618" s="178">
        <v>35</v>
      </c>
      <c r="B618" s="193" t="s">
        <v>1493</v>
      </c>
      <c r="C618" s="195" t="s">
        <v>335</v>
      </c>
      <c r="D618" s="197">
        <f>SUM(D620:D642)</f>
        <v>94412000</v>
      </c>
      <c r="E618" s="197">
        <f>'rekap REALISASI REKO '!AB168</f>
        <v>94000000</v>
      </c>
      <c r="F618" s="199">
        <f>D618-E618</f>
        <v>412000</v>
      </c>
      <c r="G618" s="201">
        <v>20434925</v>
      </c>
      <c r="H618" s="214">
        <f>G618/E618*100</f>
        <v>21.739281914893617</v>
      </c>
      <c r="I618" s="214">
        <f>E618-G618</f>
        <v>73565075</v>
      </c>
      <c r="J618" s="214">
        <f>I618/E618*100</f>
        <v>78.26071808510639</v>
      </c>
    </row>
    <row r="619" spans="1:10" ht="31.5" customHeight="1">
      <c r="A619" s="179"/>
      <c r="B619" s="194"/>
      <c r="C619" s="196"/>
      <c r="D619" s="198"/>
      <c r="E619" s="198"/>
      <c r="F619" s="200"/>
      <c r="G619" s="202"/>
      <c r="H619" s="215"/>
      <c r="I619" s="215"/>
      <c r="J619" s="215"/>
    </row>
    <row r="620" spans="1:10" ht="20.100000000000001" hidden="1" customHeight="1">
      <c r="A620" s="180"/>
      <c r="B620" s="102" t="s">
        <v>1494</v>
      </c>
      <c r="C620" s="103" t="s">
        <v>10</v>
      </c>
      <c r="D620" s="104"/>
      <c r="E620" s="104">
        <v>13125000</v>
      </c>
      <c r="F620" s="175">
        <f t="shared" si="50"/>
        <v>-13125000</v>
      </c>
      <c r="G620" s="167">
        <f t="shared" si="50"/>
        <v>26250000</v>
      </c>
      <c r="H620" s="101" t="e">
        <f t="shared" si="49"/>
        <v>#VALUE!</v>
      </c>
      <c r="I620" s="101">
        <f t="shared" ref="I620:I642" si="52">F620-G620</f>
        <v>-39375000</v>
      </c>
      <c r="J620" s="101">
        <f t="shared" si="49"/>
        <v>-300</v>
      </c>
    </row>
    <row r="621" spans="1:10" ht="20.100000000000001" hidden="1" customHeight="1">
      <c r="A621" s="180"/>
      <c r="B621" s="102" t="s">
        <v>1495</v>
      </c>
      <c r="C621" s="103" t="s">
        <v>177</v>
      </c>
      <c r="D621" s="104"/>
      <c r="E621" s="104">
        <v>9825000</v>
      </c>
      <c r="F621" s="175">
        <f t="shared" si="50"/>
        <v>-9825000</v>
      </c>
      <c r="G621" s="167">
        <f t="shared" si="50"/>
        <v>19650000</v>
      </c>
      <c r="H621" s="101" t="e">
        <f t="shared" si="49"/>
        <v>#VALUE!</v>
      </c>
      <c r="I621" s="101">
        <f t="shared" si="52"/>
        <v>-29475000</v>
      </c>
      <c r="J621" s="101">
        <f t="shared" si="49"/>
        <v>-300</v>
      </c>
    </row>
    <row r="622" spans="1:10" ht="20.100000000000001" hidden="1" customHeight="1">
      <c r="A622" s="180"/>
      <c r="B622" s="102" t="s">
        <v>1496</v>
      </c>
      <c r="C622" s="103" t="s">
        <v>283</v>
      </c>
      <c r="D622" s="104">
        <v>9825000</v>
      </c>
      <c r="E622" s="104">
        <v>9825000</v>
      </c>
      <c r="F622" s="175">
        <f t="shared" si="50"/>
        <v>0</v>
      </c>
      <c r="G622" s="167">
        <f t="shared" si="50"/>
        <v>9825000</v>
      </c>
      <c r="H622" s="101" t="e">
        <f t="shared" si="49"/>
        <v>#VALUE!</v>
      </c>
      <c r="I622" s="101">
        <f t="shared" si="52"/>
        <v>-9825000</v>
      </c>
      <c r="J622" s="101">
        <f t="shared" si="49"/>
        <v>-100</v>
      </c>
    </row>
    <row r="623" spans="1:10" ht="20.100000000000001" hidden="1" customHeight="1">
      <c r="A623" s="180"/>
      <c r="B623" s="102" t="s">
        <v>1497</v>
      </c>
      <c r="C623" s="103" t="s">
        <v>341</v>
      </c>
      <c r="D623" s="104"/>
      <c r="E623" s="104">
        <v>3300000</v>
      </c>
      <c r="F623" s="175">
        <f t="shared" si="50"/>
        <v>-3300000</v>
      </c>
      <c r="G623" s="167">
        <f t="shared" si="50"/>
        <v>6600000</v>
      </c>
      <c r="H623" s="101" t="e">
        <f t="shared" si="49"/>
        <v>#VALUE!</v>
      </c>
      <c r="I623" s="101">
        <f t="shared" si="52"/>
        <v>-9900000</v>
      </c>
      <c r="J623" s="101">
        <f t="shared" si="49"/>
        <v>-300</v>
      </c>
    </row>
    <row r="624" spans="1:10" ht="20.100000000000001" hidden="1" customHeight="1">
      <c r="A624" s="180"/>
      <c r="B624" s="102" t="s">
        <v>1498</v>
      </c>
      <c r="C624" s="103" t="s">
        <v>1185</v>
      </c>
      <c r="D624" s="104">
        <v>3300000</v>
      </c>
      <c r="E624" s="104">
        <v>3300000</v>
      </c>
      <c r="F624" s="175">
        <f t="shared" si="50"/>
        <v>0</v>
      </c>
      <c r="G624" s="167">
        <f t="shared" si="50"/>
        <v>3300000</v>
      </c>
      <c r="H624" s="101" t="e">
        <f t="shared" si="49"/>
        <v>#VALUE!</v>
      </c>
      <c r="I624" s="101">
        <f t="shared" si="52"/>
        <v>-3300000</v>
      </c>
      <c r="J624" s="101">
        <f t="shared" si="49"/>
        <v>-100</v>
      </c>
    </row>
    <row r="625" spans="1:10" ht="20.100000000000001" hidden="1" customHeight="1">
      <c r="A625" s="180"/>
      <c r="B625" s="102" t="s">
        <v>1499</v>
      </c>
      <c r="C625" s="103" t="s">
        <v>143</v>
      </c>
      <c r="D625" s="104"/>
      <c r="E625" s="104">
        <v>81287000</v>
      </c>
      <c r="F625" s="175">
        <f t="shared" si="50"/>
        <v>-81287000</v>
      </c>
      <c r="G625" s="167">
        <f t="shared" si="50"/>
        <v>162574000</v>
      </c>
      <c r="H625" s="101" t="e">
        <f t="shared" si="49"/>
        <v>#VALUE!</v>
      </c>
      <c r="I625" s="101">
        <f t="shared" si="52"/>
        <v>-243861000</v>
      </c>
      <c r="J625" s="101">
        <f t="shared" si="49"/>
        <v>-300</v>
      </c>
    </row>
    <row r="626" spans="1:10" ht="20.100000000000001" hidden="1" customHeight="1">
      <c r="A626" s="180"/>
      <c r="B626" s="102" t="s">
        <v>1500</v>
      </c>
      <c r="C626" s="103" t="s">
        <v>145</v>
      </c>
      <c r="D626" s="104"/>
      <c r="E626" s="104">
        <v>1501000</v>
      </c>
      <c r="F626" s="175">
        <f t="shared" si="50"/>
        <v>-1501000</v>
      </c>
      <c r="G626" s="167">
        <f t="shared" si="50"/>
        <v>3002000</v>
      </c>
      <c r="H626" s="101" t="e">
        <f t="shared" si="49"/>
        <v>#VALUE!</v>
      </c>
      <c r="I626" s="101">
        <f t="shared" si="52"/>
        <v>-4503000</v>
      </c>
      <c r="J626" s="101">
        <f t="shared" si="49"/>
        <v>-300</v>
      </c>
    </row>
    <row r="627" spans="1:10" ht="20.100000000000001" hidden="1" customHeight="1">
      <c r="A627" s="180"/>
      <c r="B627" s="102" t="s">
        <v>1501</v>
      </c>
      <c r="C627" s="103" t="s">
        <v>147</v>
      </c>
      <c r="D627" s="104">
        <v>1303000</v>
      </c>
      <c r="E627" s="104">
        <v>1303000</v>
      </c>
      <c r="F627" s="175">
        <f t="shared" si="50"/>
        <v>0</v>
      </c>
      <c r="G627" s="167">
        <f t="shared" si="50"/>
        <v>1303000</v>
      </c>
      <c r="H627" s="101" t="e">
        <f t="shared" si="49"/>
        <v>#VALUE!</v>
      </c>
      <c r="I627" s="101">
        <f t="shared" si="52"/>
        <v>-1303000</v>
      </c>
      <c r="J627" s="101">
        <f t="shared" si="49"/>
        <v>-100</v>
      </c>
    </row>
    <row r="628" spans="1:10" ht="20.100000000000001" hidden="1" customHeight="1">
      <c r="A628" s="180"/>
      <c r="B628" s="102" t="s">
        <v>1502</v>
      </c>
      <c r="C628" s="103" t="s">
        <v>149</v>
      </c>
      <c r="D628" s="104">
        <v>198000</v>
      </c>
      <c r="E628" s="104">
        <v>198000</v>
      </c>
      <c r="F628" s="175">
        <f t="shared" si="50"/>
        <v>0</v>
      </c>
      <c r="G628" s="167">
        <f t="shared" si="50"/>
        <v>198000</v>
      </c>
      <c r="H628" s="101" t="e">
        <f t="shared" si="49"/>
        <v>#VALUE!</v>
      </c>
      <c r="I628" s="101">
        <f t="shared" si="52"/>
        <v>-198000</v>
      </c>
      <c r="J628" s="101">
        <f t="shared" si="49"/>
        <v>-100</v>
      </c>
    </row>
    <row r="629" spans="1:10" ht="20.100000000000001" hidden="1" customHeight="1">
      <c r="A629" s="180"/>
      <c r="B629" s="102" t="s">
        <v>1503</v>
      </c>
      <c r="C629" s="103" t="s">
        <v>163</v>
      </c>
      <c r="D629" s="104"/>
      <c r="E629" s="104">
        <v>26176000</v>
      </c>
      <c r="F629" s="175">
        <f t="shared" si="50"/>
        <v>-26176000</v>
      </c>
      <c r="G629" s="167">
        <f t="shared" si="50"/>
        <v>52352000</v>
      </c>
      <c r="H629" s="101" t="e">
        <f t="shared" si="49"/>
        <v>#VALUE!</v>
      </c>
      <c r="I629" s="101">
        <f t="shared" si="52"/>
        <v>-78528000</v>
      </c>
      <c r="J629" s="101">
        <f t="shared" si="49"/>
        <v>-300</v>
      </c>
    </row>
    <row r="630" spans="1:10" ht="20.100000000000001" hidden="1" customHeight="1">
      <c r="A630" s="180"/>
      <c r="B630" s="102" t="s">
        <v>1504</v>
      </c>
      <c r="C630" s="103" t="s">
        <v>349</v>
      </c>
      <c r="D630" s="104">
        <v>351000</v>
      </c>
      <c r="E630" s="104">
        <v>351000</v>
      </c>
      <c r="F630" s="175">
        <f t="shared" si="50"/>
        <v>0</v>
      </c>
      <c r="G630" s="167">
        <f t="shared" si="50"/>
        <v>351000</v>
      </c>
      <c r="H630" s="101" t="e">
        <f t="shared" si="49"/>
        <v>#VALUE!</v>
      </c>
      <c r="I630" s="101">
        <f t="shared" si="52"/>
        <v>-351000</v>
      </c>
      <c r="J630" s="101">
        <f t="shared" si="49"/>
        <v>-100</v>
      </c>
    </row>
    <row r="631" spans="1:10" ht="20.100000000000001" hidden="1" customHeight="1">
      <c r="A631" s="180"/>
      <c r="B631" s="102" t="s">
        <v>1505</v>
      </c>
      <c r="C631" s="103" t="s">
        <v>231</v>
      </c>
      <c r="D631" s="104">
        <v>825000</v>
      </c>
      <c r="E631" s="104">
        <v>825000</v>
      </c>
      <c r="F631" s="175">
        <f t="shared" si="50"/>
        <v>0</v>
      </c>
      <c r="G631" s="167">
        <f t="shared" si="50"/>
        <v>825000</v>
      </c>
      <c r="H631" s="101" t="e">
        <f t="shared" si="49"/>
        <v>#VALUE!</v>
      </c>
      <c r="I631" s="101">
        <f t="shared" si="52"/>
        <v>-825000</v>
      </c>
      <c r="J631" s="101">
        <f t="shared" si="49"/>
        <v>-100</v>
      </c>
    </row>
    <row r="632" spans="1:10" ht="20.100000000000001" hidden="1" customHeight="1">
      <c r="A632" s="180"/>
      <c r="B632" s="102" t="s">
        <v>1506</v>
      </c>
      <c r="C632" s="103" t="s">
        <v>352</v>
      </c>
      <c r="D632" s="104">
        <v>25000000</v>
      </c>
      <c r="E632" s="104">
        <v>25000000</v>
      </c>
      <c r="F632" s="175">
        <f t="shared" si="50"/>
        <v>0</v>
      </c>
      <c r="G632" s="167">
        <f t="shared" si="50"/>
        <v>25000000</v>
      </c>
      <c r="H632" s="101" t="e">
        <f t="shared" si="49"/>
        <v>#VALUE!</v>
      </c>
      <c r="I632" s="101">
        <f t="shared" si="52"/>
        <v>-25000000</v>
      </c>
      <c r="J632" s="101">
        <f t="shared" si="49"/>
        <v>-100</v>
      </c>
    </row>
    <row r="633" spans="1:10" ht="20.100000000000001" hidden="1" customHeight="1">
      <c r="A633" s="180"/>
      <c r="B633" s="102" t="s">
        <v>1507</v>
      </c>
      <c r="C633" s="103" t="s">
        <v>151</v>
      </c>
      <c r="D633" s="104"/>
      <c r="E633" s="104">
        <v>995000</v>
      </c>
      <c r="F633" s="175">
        <f t="shared" si="50"/>
        <v>-995000</v>
      </c>
      <c r="G633" s="167">
        <f t="shared" si="50"/>
        <v>1990000</v>
      </c>
      <c r="H633" s="101" t="e">
        <f t="shared" si="49"/>
        <v>#VALUE!</v>
      </c>
      <c r="I633" s="101">
        <f t="shared" si="52"/>
        <v>-2985000</v>
      </c>
      <c r="J633" s="101">
        <f t="shared" si="49"/>
        <v>-300</v>
      </c>
    </row>
    <row r="634" spans="1:10" ht="20.100000000000001" hidden="1" customHeight="1">
      <c r="A634" s="180"/>
      <c r="B634" s="102" t="s">
        <v>1508</v>
      </c>
      <c r="C634" s="103" t="s">
        <v>153</v>
      </c>
      <c r="D634" s="104">
        <v>75000</v>
      </c>
      <c r="E634" s="104">
        <v>75000</v>
      </c>
      <c r="F634" s="175">
        <f t="shared" si="50"/>
        <v>0</v>
      </c>
      <c r="G634" s="167">
        <f t="shared" si="50"/>
        <v>75000</v>
      </c>
      <c r="H634" s="101" t="e">
        <f t="shared" si="49"/>
        <v>#VALUE!</v>
      </c>
      <c r="I634" s="101">
        <f t="shared" si="52"/>
        <v>-75000</v>
      </c>
      <c r="J634" s="101">
        <f t="shared" si="49"/>
        <v>-100</v>
      </c>
    </row>
    <row r="635" spans="1:10" ht="20.100000000000001" hidden="1" customHeight="1">
      <c r="A635" s="180"/>
      <c r="B635" s="102" t="s">
        <v>1509</v>
      </c>
      <c r="C635" s="103" t="s">
        <v>155</v>
      </c>
      <c r="D635" s="104">
        <v>920000</v>
      </c>
      <c r="E635" s="104">
        <v>920000</v>
      </c>
      <c r="F635" s="175">
        <f t="shared" si="50"/>
        <v>0</v>
      </c>
      <c r="G635" s="167">
        <f t="shared" si="50"/>
        <v>920000</v>
      </c>
      <c r="H635" s="101" t="e">
        <f t="shared" si="49"/>
        <v>#VALUE!</v>
      </c>
      <c r="I635" s="101">
        <f t="shared" si="52"/>
        <v>-920000</v>
      </c>
      <c r="J635" s="101">
        <f t="shared" si="49"/>
        <v>-100</v>
      </c>
    </row>
    <row r="636" spans="1:10" ht="20.100000000000001" hidden="1" customHeight="1">
      <c r="A636" s="180"/>
      <c r="B636" s="102" t="s">
        <v>1510</v>
      </c>
      <c r="C636" s="103" t="s">
        <v>328</v>
      </c>
      <c r="D636" s="104"/>
      <c r="E636" s="104">
        <v>10000000</v>
      </c>
      <c r="F636" s="175">
        <f t="shared" si="50"/>
        <v>-10000000</v>
      </c>
      <c r="G636" s="167">
        <f t="shared" si="50"/>
        <v>20000000</v>
      </c>
      <c r="H636" s="101" t="e">
        <f t="shared" si="49"/>
        <v>#VALUE!</v>
      </c>
      <c r="I636" s="101">
        <f t="shared" si="52"/>
        <v>-30000000</v>
      </c>
      <c r="J636" s="101">
        <f t="shared" si="49"/>
        <v>-300</v>
      </c>
    </row>
    <row r="637" spans="1:10" ht="20.100000000000001" hidden="1" customHeight="1">
      <c r="A637" s="180"/>
      <c r="B637" s="102" t="s">
        <v>1511</v>
      </c>
      <c r="C637" s="103" t="s">
        <v>330</v>
      </c>
      <c r="D637" s="104">
        <v>10000000</v>
      </c>
      <c r="E637" s="104">
        <v>10000000</v>
      </c>
      <c r="F637" s="175">
        <f t="shared" si="50"/>
        <v>0</v>
      </c>
      <c r="G637" s="167">
        <f t="shared" si="50"/>
        <v>10000000</v>
      </c>
      <c r="H637" s="101" t="e">
        <f t="shared" si="49"/>
        <v>#VALUE!</v>
      </c>
      <c r="I637" s="101">
        <f t="shared" si="52"/>
        <v>-10000000</v>
      </c>
      <c r="J637" s="101">
        <f t="shared" si="49"/>
        <v>-100</v>
      </c>
    </row>
    <row r="638" spans="1:10" ht="20.100000000000001" hidden="1" customHeight="1">
      <c r="A638" s="180"/>
      <c r="B638" s="102" t="s">
        <v>1512</v>
      </c>
      <c r="C638" s="103" t="s">
        <v>193</v>
      </c>
      <c r="D638" s="104"/>
      <c r="E638" s="104">
        <v>3180000</v>
      </c>
      <c r="F638" s="175">
        <f t="shared" si="50"/>
        <v>-3180000</v>
      </c>
      <c r="G638" s="167">
        <f t="shared" si="50"/>
        <v>6360000</v>
      </c>
      <c r="H638" s="101" t="e">
        <f t="shared" si="49"/>
        <v>#VALUE!</v>
      </c>
      <c r="I638" s="101">
        <f t="shared" si="52"/>
        <v>-9540000</v>
      </c>
      <c r="J638" s="101">
        <f t="shared" si="49"/>
        <v>-300</v>
      </c>
    </row>
    <row r="639" spans="1:10" ht="20.100000000000001" hidden="1" customHeight="1">
      <c r="A639" s="180"/>
      <c r="B639" s="102" t="s">
        <v>1513</v>
      </c>
      <c r="C639" s="103" t="s">
        <v>195</v>
      </c>
      <c r="D639" s="104">
        <v>3180000</v>
      </c>
      <c r="E639" s="104">
        <v>3180000</v>
      </c>
      <c r="F639" s="175">
        <f t="shared" si="50"/>
        <v>0</v>
      </c>
      <c r="G639" s="167">
        <f t="shared" si="50"/>
        <v>3180000</v>
      </c>
      <c r="H639" s="101" t="e">
        <f t="shared" si="49"/>
        <v>#VALUE!</v>
      </c>
      <c r="I639" s="101">
        <f t="shared" si="52"/>
        <v>-3180000</v>
      </c>
      <c r="J639" s="101">
        <f t="shared" si="49"/>
        <v>-100</v>
      </c>
    </row>
    <row r="640" spans="1:10" ht="20.100000000000001" hidden="1" customHeight="1">
      <c r="A640" s="180"/>
      <c r="B640" s="102" t="s">
        <v>1514</v>
      </c>
      <c r="C640" s="103" t="s">
        <v>157</v>
      </c>
      <c r="D640" s="104"/>
      <c r="E640" s="104">
        <v>39435000</v>
      </c>
      <c r="F640" s="175">
        <f t="shared" si="50"/>
        <v>-39435000</v>
      </c>
      <c r="G640" s="167">
        <f t="shared" si="50"/>
        <v>78870000</v>
      </c>
      <c r="H640" s="101" t="e">
        <f t="shared" si="49"/>
        <v>#VALUE!</v>
      </c>
      <c r="I640" s="101">
        <f t="shared" si="52"/>
        <v>-118305000</v>
      </c>
      <c r="J640" s="101">
        <f t="shared" si="49"/>
        <v>-300</v>
      </c>
    </row>
    <row r="641" spans="1:10" ht="20.100000000000001" hidden="1" customHeight="1">
      <c r="A641" s="180"/>
      <c r="B641" s="102" t="s">
        <v>1515</v>
      </c>
      <c r="C641" s="103" t="s">
        <v>159</v>
      </c>
      <c r="D641" s="104">
        <v>3960000</v>
      </c>
      <c r="E641" s="104">
        <v>3960000</v>
      </c>
      <c r="F641" s="175">
        <f t="shared" si="50"/>
        <v>0</v>
      </c>
      <c r="G641" s="167">
        <f t="shared" si="50"/>
        <v>3960000</v>
      </c>
      <c r="H641" s="101" t="e">
        <f t="shared" si="49"/>
        <v>#VALUE!</v>
      </c>
      <c r="I641" s="101">
        <f t="shared" si="52"/>
        <v>-3960000</v>
      </c>
      <c r="J641" s="101">
        <f t="shared" si="49"/>
        <v>-100</v>
      </c>
    </row>
    <row r="642" spans="1:10" ht="20.100000000000001" hidden="1" customHeight="1">
      <c r="A642" s="180"/>
      <c r="B642" s="102" t="s">
        <v>1516</v>
      </c>
      <c r="C642" s="103" t="s">
        <v>207</v>
      </c>
      <c r="D642" s="104">
        <v>35475000</v>
      </c>
      <c r="E642" s="104">
        <v>35475000</v>
      </c>
      <c r="F642" s="175">
        <f t="shared" si="50"/>
        <v>0</v>
      </c>
      <c r="G642" s="167">
        <f t="shared" si="50"/>
        <v>35475000</v>
      </c>
      <c r="H642" s="101" t="e">
        <f t="shared" si="49"/>
        <v>#VALUE!</v>
      </c>
      <c r="I642" s="101">
        <f t="shared" si="52"/>
        <v>-35475000</v>
      </c>
      <c r="J642" s="101">
        <f t="shared" si="49"/>
        <v>-100</v>
      </c>
    </row>
    <row r="643" spans="1:10" ht="20.100000000000001" customHeight="1">
      <c r="A643" s="176" t="s">
        <v>846</v>
      </c>
      <c r="B643" s="106" t="s">
        <v>1517</v>
      </c>
      <c r="C643" s="107" t="s">
        <v>7</v>
      </c>
      <c r="D643" s="108">
        <f>D644+D658</f>
        <v>37699000</v>
      </c>
      <c r="E643" s="108">
        <f>E644+E658</f>
        <v>10587000</v>
      </c>
      <c r="F643" s="177">
        <f t="shared" si="50"/>
        <v>27112000</v>
      </c>
      <c r="G643" s="169">
        <f>G644+G658</f>
        <v>10459450</v>
      </c>
      <c r="H643" s="110">
        <f>G643/E643*100</f>
        <v>98.795220553509026</v>
      </c>
      <c r="I643" s="109">
        <f>I644+I658</f>
        <v>127550</v>
      </c>
      <c r="J643" s="110">
        <f t="shared" si="49"/>
        <v>1.2047794464909796</v>
      </c>
    </row>
    <row r="644" spans="1:10" ht="20.100000000000001" customHeight="1">
      <c r="A644" s="178">
        <v>36</v>
      </c>
      <c r="B644" s="193" t="s">
        <v>1518</v>
      </c>
      <c r="C644" s="195" t="s">
        <v>1519</v>
      </c>
      <c r="D644" s="197">
        <f>SUM(D646:D657)</f>
        <v>24997000</v>
      </c>
      <c r="E644" s="197">
        <v>0</v>
      </c>
      <c r="F644" s="199">
        <f>D644-E644</f>
        <v>24997000</v>
      </c>
      <c r="G644" s="201">
        <v>0</v>
      </c>
      <c r="H644" s="214">
        <v>0</v>
      </c>
      <c r="I644" s="214">
        <f>E644-G644</f>
        <v>0</v>
      </c>
      <c r="J644" s="214">
        <v>0</v>
      </c>
    </row>
    <row r="645" spans="1:10" ht="8.25" customHeight="1">
      <c r="A645" s="179"/>
      <c r="B645" s="194"/>
      <c r="C645" s="196"/>
      <c r="D645" s="198"/>
      <c r="E645" s="198"/>
      <c r="F645" s="200"/>
      <c r="G645" s="202"/>
      <c r="H645" s="215"/>
      <c r="I645" s="215"/>
      <c r="J645" s="215"/>
    </row>
    <row r="646" spans="1:10" ht="20.100000000000001" hidden="1" customHeight="1">
      <c r="A646" s="180"/>
      <c r="B646" s="102" t="s">
        <v>1520</v>
      </c>
      <c r="C646" s="103" t="s">
        <v>10</v>
      </c>
      <c r="D646" s="104"/>
      <c r="E646" s="104">
        <v>3210000</v>
      </c>
      <c r="F646" s="175">
        <f t="shared" si="50"/>
        <v>-3210000</v>
      </c>
      <c r="G646" s="167">
        <f t="shared" si="50"/>
        <v>6420000</v>
      </c>
      <c r="H646" s="101" t="e">
        <f t="shared" si="49"/>
        <v>#VALUE!</v>
      </c>
      <c r="I646" s="101">
        <f t="shared" ref="I646:I657" si="53">F646-G646</f>
        <v>-9630000</v>
      </c>
      <c r="J646" s="101">
        <f t="shared" si="49"/>
        <v>-300</v>
      </c>
    </row>
    <row r="647" spans="1:10" ht="20.100000000000001" hidden="1" customHeight="1">
      <c r="A647" s="180"/>
      <c r="B647" s="102" t="s">
        <v>1521</v>
      </c>
      <c r="C647" s="103" t="s">
        <v>177</v>
      </c>
      <c r="D647" s="104"/>
      <c r="E647" s="104">
        <v>3210000</v>
      </c>
      <c r="F647" s="175">
        <f t="shared" si="50"/>
        <v>-3210000</v>
      </c>
      <c r="G647" s="167">
        <f t="shared" si="50"/>
        <v>6420000</v>
      </c>
      <c r="H647" s="101" t="e">
        <f t="shared" si="49"/>
        <v>#VALUE!</v>
      </c>
      <c r="I647" s="101">
        <f t="shared" si="53"/>
        <v>-9630000</v>
      </c>
      <c r="J647" s="101">
        <f t="shared" si="49"/>
        <v>-300</v>
      </c>
    </row>
    <row r="648" spans="1:10" ht="20.100000000000001" hidden="1" customHeight="1">
      <c r="A648" s="180"/>
      <c r="B648" s="102" t="s">
        <v>1522</v>
      </c>
      <c r="C648" s="103" t="s">
        <v>283</v>
      </c>
      <c r="D648" s="104">
        <v>3210000</v>
      </c>
      <c r="E648" s="104">
        <v>3210000</v>
      </c>
      <c r="F648" s="175">
        <f t="shared" si="50"/>
        <v>0</v>
      </c>
      <c r="G648" s="167">
        <f t="shared" si="50"/>
        <v>3210000</v>
      </c>
      <c r="H648" s="101" t="e">
        <f t="shared" si="49"/>
        <v>#VALUE!</v>
      </c>
      <c r="I648" s="101">
        <f t="shared" si="53"/>
        <v>-3210000</v>
      </c>
      <c r="J648" s="101">
        <f t="shared" si="49"/>
        <v>-100</v>
      </c>
    </row>
    <row r="649" spans="1:10" ht="20.100000000000001" hidden="1" customHeight="1">
      <c r="A649" s="180"/>
      <c r="B649" s="102" t="s">
        <v>1523</v>
      </c>
      <c r="C649" s="103" t="s">
        <v>143</v>
      </c>
      <c r="D649" s="104"/>
      <c r="E649" s="104">
        <v>21787000</v>
      </c>
      <c r="F649" s="175">
        <f t="shared" si="50"/>
        <v>-21787000</v>
      </c>
      <c r="G649" s="167">
        <f t="shared" si="50"/>
        <v>43574000</v>
      </c>
      <c r="H649" s="101" t="e">
        <f t="shared" si="49"/>
        <v>#VALUE!</v>
      </c>
      <c r="I649" s="101">
        <f t="shared" si="53"/>
        <v>-65361000</v>
      </c>
      <c r="J649" s="101">
        <f t="shared" si="49"/>
        <v>-300</v>
      </c>
    </row>
    <row r="650" spans="1:10" ht="20.100000000000001" hidden="1" customHeight="1">
      <c r="A650" s="180"/>
      <c r="B650" s="102" t="s">
        <v>1524</v>
      </c>
      <c r="C650" s="103" t="s">
        <v>145</v>
      </c>
      <c r="D650" s="104"/>
      <c r="E650" s="104">
        <v>2447000</v>
      </c>
      <c r="F650" s="175">
        <f t="shared" si="50"/>
        <v>-2447000</v>
      </c>
      <c r="G650" s="167">
        <f t="shared" si="50"/>
        <v>4894000</v>
      </c>
      <c r="H650" s="101" t="e">
        <f t="shared" ref="H650:J672" si="54">G650/C650*100</f>
        <v>#VALUE!</v>
      </c>
      <c r="I650" s="101">
        <f t="shared" si="53"/>
        <v>-7341000</v>
      </c>
      <c r="J650" s="101">
        <f t="shared" si="54"/>
        <v>-300</v>
      </c>
    </row>
    <row r="651" spans="1:10" ht="20.100000000000001" hidden="1" customHeight="1">
      <c r="A651" s="180"/>
      <c r="B651" s="102" t="s">
        <v>1525</v>
      </c>
      <c r="C651" s="103" t="s">
        <v>147</v>
      </c>
      <c r="D651" s="104">
        <v>2447000</v>
      </c>
      <c r="E651" s="104">
        <v>2447000</v>
      </c>
      <c r="F651" s="175">
        <f t="shared" ref="F651:G673" si="55">D651-E651</f>
        <v>0</v>
      </c>
      <c r="G651" s="167">
        <f t="shared" si="55"/>
        <v>2447000</v>
      </c>
      <c r="H651" s="101" t="e">
        <f t="shared" si="54"/>
        <v>#VALUE!</v>
      </c>
      <c r="I651" s="101">
        <f t="shared" si="53"/>
        <v>-2447000</v>
      </c>
      <c r="J651" s="101">
        <f t="shared" si="54"/>
        <v>-100</v>
      </c>
    </row>
    <row r="652" spans="1:10" ht="20.100000000000001" hidden="1" customHeight="1">
      <c r="A652" s="180"/>
      <c r="B652" s="102" t="s">
        <v>1526</v>
      </c>
      <c r="C652" s="103" t="s">
        <v>151</v>
      </c>
      <c r="D652" s="104"/>
      <c r="E652" s="104">
        <v>4715000</v>
      </c>
      <c r="F652" s="175">
        <f t="shared" si="55"/>
        <v>-4715000</v>
      </c>
      <c r="G652" s="167">
        <f t="shared" si="55"/>
        <v>9430000</v>
      </c>
      <c r="H652" s="101" t="e">
        <f t="shared" si="54"/>
        <v>#VALUE!</v>
      </c>
      <c r="I652" s="101">
        <f t="shared" si="53"/>
        <v>-14145000</v>
      </c>
      <c r="J652" s="101">
        <f t="shared" si="54"/>
        <v>-300</v>
      </c>
    </row>
    <row r="653" spans="1:10" ht="20.100000000000001" hidden="1" customHeight="1">
      <c r="A653" s="180"/>
      <c r="B653" s="102" t="s">
        <v>1527</v>
      </c>
      <c r="C653" s="103" t="s">
        <v>155</v>
      </c>
      <c r="D653" s="104">
        <v>4715000</v>
      </c>
      <c r="E653" s="104">
        <v>4715000</v>
      </c>
      <c r="F653" s="175">
        <f t="shared" si="55"/>
        <v>0</v>
      </c>
      <c r="G653" s="167">
        <f t="shared" si="55"/>
        <v>4715000</v>
      </c>
      <c r="H653" s="101" t="e">
        <f t="shared" si="54"/>
        <v>#VALUE!</v>
      </c>
      <c r="I653" s="101">
        <f t="shared" si="53"/>
        <v>-4715000</v>
      </c>
      <c r="J653" s="101">
        <f t="shared" si="54"/>
        <v>-100</v>
      </c>
    </row>
    <row r="654" spans="1:10" ht="20.100000000000001" hidden="1" customHeight="1">
      <c r="A654" s="180"/>
      <c r="B654" s="102" t="s">
        <v>1528</v>
      </c>
      <c r="C654" s="103" t="s">
        <v>193</v>
      </c>
      <c r="D654" s="104"/>
      <c r="E654" s="104">
        <v>11745000</v>
      </c>
      <c r="F654" s="175">
        <f t="shared" si="55"/>
        <v>-11745000</v>
      </c>
      <c r="G654" s="167">
        <f t="shared" si="55"/>
        <v>23490000</v>
      </c>
      <c r="H654" s="101" t="e">
        <f t="shared" si="54"/>
        <v>#VALUE!</v>
      </c>
      <c r="I654" s="101">
        <f t="shared" si="53"/>
        <v>-35235000</v>
      </c>
      <c r="J654" s="101">
        <f t="shared" si="54"/>
        <v>-300</v>
      </c>
    </row>
    <row r="655" spans="1:10" ht="20.100000000000001" hidden="1" customHeight="1">
      <c r="A655" s="180"/>
      <c r="B655" s="102" t="s">
        <v>1529</v>
      </c>
      <c r="C655" s="103" t="s">
        <v>195</v>
      </c>
      <c r="D655" s="104">
        <v>11745000</v>
      </c>
      <c r="E655" s="104">
        <v>11745000</v>
      </c>
      <c r="F655" s="175">
        <f t="shared" si="55"/>
        <v>0</v>
      </c>
      <c r="G655" s="167">
        <f t="shared" si="55"/>
        <v>11745000</v>
      </c>
      <c r="H655" s="101" t="e">
        <f t="shared" si="54"/>
        <v>#VALUE!</v>
      </c>
      <c r="I655" s="101">
        <f t="shared" si="53"/>
        <v>-11745000</v>
      </c>
      <c r="J655" s="101">
        <f t="shared" si="54"/>
        <v>-100</v>
      </c>
    </row>
    <row r="656" spans="1:10" ht="20.100000000000001" hidden="1" customHeight="1">
      <c r="A656" s="180"/>
      <c r="B656" s="102" t="s">
        <v>1530</v>
      </c>
      <c r="C656" s="103" t="s">
        <v>157</v>
      </c>
      <c r="D656" s="104"/>
      <c r="E656" s="104">
        <v>2880000</v>
      </c>
      <c r="F656" s="175">
        <f t="shared" si="55"/>
        <v>-2880000</v>
      </c>
      <c r="G656" s="167">
        <f t="shared" si="55"/>
        <v>5760000</v>
      </c>
      <c r="H656" s="101" t="e">
        <f t="shared" si="54"/>
        <v>#VALUE!</v>
      </c>
      <c r="I656" s="101">
        <f t="shared" si="53"/>
        <v>-8640000</v>
      </c>
      <c r="J656" s="101">
        <f t="shared" si="54"/>
        <v>-300</v>
      </c>
    </row>
    <row r="657" spans="1:10" ht="20.100000000000001" hidden="1" customHeight="1">
      <c r="A657" s="180"/>
      <c r="B657" s="102" t="s">
        <v>1531</v>
      </c>
      <c r="C657" s="103" t="s">
        <v>159</v>
      </c>
      <c r="D657" s="104">
        <v>2880000</v>
      </c>
      <c r="E657" s="104">
        <v>2880000</v>
      </c>
      <c r="F657" s="175">
        <f t="shared" si="55"/>
        <v>0</v>
      </c>
      <c r="G657" s="167">
        <f t="shared" si="55"/>
        <v>2880000</v>
      </c>
      <c r="H657" s="101" t="e">
        <f t="shared" si="54"/>
        <v>#VALUE!</v>
      </c>
      <c r="I657" s="101">
        <f t="shared" si="53"/>
        <v>-2880000</v>
      </c>
      <c r="J657" s="101">
        <f t="shared" si="54"/>
        <v>-100</v>
      </c>
    </row>
    <row r="658" spans="1:10" ht="20.100000000000001" customHeight="1">
      <c r="A658" s="178">
        <v>37</v>
      </c>
      <c r="B658" s="193" t="s">
        <v>1532</v>
      </c>
      <c r="C658" s="195" t="s">
        <v>849</v>
      </c>
      <c r="D658" s="197">
        <f>SUM(D660:D672)</f>
        <v>12702000</v>
      </c>
      <c r="E658" s="197">
        <f>'rekap REALISASI REKO '!AB636</f>
        <v>10587000</v>
      </c>
      <c r="F658" s="199">
        <f>D658-E658</f>
        <v>2115000</v>
      </c>
      <c r="G658" s="201">
        <f>'rekap REALISASI REKO '!AQ636</f>
        <v>10459450</v>
      </c>
      <c r="H658" s="214">
        <f>G658/E658*100</f>
        <v>98.795220553509026</v>
      </c>
      <c r="I658" s="214">
        <f>E658-G658</f>
        <v>127550</v>
      </c>
      <c r="J658" s="214">
        <f>I658/E658*100</f>
        <v>1.2047794464909796</v>
      </c>
    </row>
    <row r="659" spans="1:10" ht="5.25" customHeight="1">
      <c r="A659" s="179"/>
      <c r="B659" s="194"/>
      <c r="C659" s="196"/>
      <c r="D659" s="198"/>
      <c r="E659" s="198"/>
      <c r="F659" s="200"/>
      <c r="G659" s="202"/>
      <c r="H659" s="215"/>
      <c r="I659" s="215"/>
      <c r="J659" s="215"/>
    </row>
    <row r="660" spans="1:10" ht="20.100000000000001" hidden="1" customHeight="1">
      <c r="A660" s="180"/>
      <c r="B660" s="102" t="s">
        <v>1533</v>
      </c>
      <c r="C660" s="103" t="s">
        <v>10</v>
      </c>
      <c r="D660" s="104"/>
      <c r="E660" s="104">
        <v>1720000</v>
      </c>
      <c r="F660" s="175">
        <f t="shared" si="55"/>
        <v>-1720000</v>
      </c>
      <c r="G660" s="167">
        <f t="shared" si="55"/>
        <v>3440000</v>
      </c>
      <c r="H660" s="101" t="e">
        <f t="shared" si="54"/>
        <v>#VALUE!</v>
      </c>
      <c r="I660" s="101">
        <f t="shared" ref="I660:I673" si="56">F660-G660</f>
        <v>-5160000</v>
      </c>
      <c r="J660" s="101">
        <f t="shared" si="54"/>
        <v>-300</v>
      </c>
    </row>
    <row r="661" spans="1:10" ht="20.100000000000001" hidden="1" customHeight="1">
      <c r="A661" s="180"/>
      <c r="B661" s="102" t="s">
        <v>1534</v>
      </c>
      <c r="C661" s="103" t="s">
        <v>177</v>
      </c>
      <c r="D661" s="104"/>
      <c r="E661" s="104">
        <v>1720000</v>
      </c>
      <c r="F661" s="175">
        <f t="shared" si="55"/>
        <v>-1720000</v>
      </c>
      <c r="G661" s="167">
        <f t="shared" si="55"/>
        <v>3440000</v>
      </c>
      <c r="H661" s="101" t="e">
        <f t="shared" si="54"/>
        <v>#VALUE!</v>
      </c>
      <c r="I661" s="101">
        <f t="shared" si="56"/>
        <v>-5160000</v>
      </c>
      <c r="J661" s="101">
        <f t="shared" si="54"/>
        <v>-300</v>
      </c>
    </row>
    <row r="662" spans="1:10" ht="20.100000000000001" hidden="1" customHeight="1">
      <c r="A662" s="180"/>
      <c r="B662" s="102" t="s">
        <v>1535</v>
      </c>
      <c r="C662" s="103" t="s">
        <v>283</v>
      </c>
      <c r="D662" s="104">
        <v>1720000</v>
      </c>
      <c r="E662" s="104">
        <v>1720000</v>
      </c>
      <c r="F662" s="175">
        <f t="shared" si="55"/>
        <v>0</v>
      </c>
      <c r="G662" s="167">
        <f t="shared" si="55"/>
        <v>1720000</v>
      </c>
      <c r="H662" s="101" t="e">
        <f t="shared" si="54"/>
        <v>#VALUE!</v>
      </c>
      <c r="I662" s="101">
        <f t="shared" si="56"/>
        <v>-1720000</v>
      </c>
      <c r="J662" s="101">
        <f t="shared" si="54"/>
        <v>-100</v>
      </c>
    </row>
    <row r="663" spans="1:10" ht="20.100000000000001" hidden="1" customHeight="1">
      <c r="A663" s="180"/>
      <c r="B663" s="102" t="s">
        <v>1536</v>
      </c>
      <c r="C663" s="103" t="s">
        <v>143</v>
      </c>
      <c r="D663" s="104"/>
      <c r="E663" s="104">
        <v>10982000</v>
      </c>
      <c r="F663" s="175">
        <f t="shared" si="55"/>
        <v>-10982000</v>
      </c>
      <c r="G663" s="167">
        <f t="shared" si="55"/>
        <v>21964000</v>
      </c>
      <c r="H663" s="101" t="e">
        <f t="shared" si="54"/>
        <v>#VALUE!</v>
      </c>
      <c r="I663" s="101">
        <f t="shared" si="56"/>
        <v>-32946000</v>
      </c>
      <c r="J663" s="101">
        <f t="shared" si="54"/>
        <v>-300</v>
      </c>
    </row>
    <row r="664" spans="1:10" ht="20.100000000000001" hidden="1" customHeight="1">
      <c r="A664" s="180"/>
      <c r="B664" s="102" t="s">
        <v>1537</v>
      </c>
      <c r="C664" s="103" t="s">
        <v>145</v>
      </c>
      <c r="D664" s="104"/>
      <c r="E664" s="104">
        <v>3511000</v>
      </c>
      <c r="F664" s="175">
        <f t="shared" si="55"/>
        <v>-3511000</v>
      </c>
      <c r="G664" s="167">
        <f t="shared" si="55"/>
        <v>7022000</v>
      </c>
      <c r="H664" s="101" t="e">
        <f t="shared" si="54"/>
        <v>#VALUE!</v>
      </c>
      <c r="I664" s="101">
        <f t="shared" si="56"/>
        <v>-10533000</v>
      </c>
      <c r="J664" s="101">
        <f t="shared" si="54"/>
        <v>-300</v>
      </c>
    </row>
    <row r="665" spans="1:10" ht="20.100000000000001" hidden="1" customHeight="1">
      <c r="A665" s="180"/>
      <c r="B665" s="102" t="s">
        <v>1538</v>
      </c>
      <c r="C665" s="103" t="s">
        <v>147</v>
      </c>
      <c r="D665" s="104">
        <v>3511000</v>
      </c>
      <c r="E665" s="104">
        <v>3511000</v>
      </c>
      <c r="F665" s="175">
        <f t="shared" si="55"/>
        <v>0</v>
      </c>
      <c r="G665" s="167">
        <f t="shared" si="55"/>
        <v>3511000</v>
      </c>
      <c r="H665" s="101" t="e">
        <f t="shared" si="54"/>
        <v>#VALUE!</v>
      </c>
      <c r="I665" s="101">
        <f t="shared" si="56"/>
        <v>-3511000</v>
      </c>
      <c r="J665" s="101">
        <f t="shared" si="54"/>
        <v>-100</v>
      </c>
    </row>
    <row r="666" spans="1:10" ht="20.100000000000001" hidden="1" customHeight="1">
      <c r="A666" s="180"/>
      <c r="B666" s="102" t="s">
        <v>1539</v>
      </c>
      <c r="C666" s="103" t="s">
        <v>151</v>
      </c>
      <c r="D666" s="104"/>
      <c r="E666" s="104">
        <v>2190000</v>
      </c>
      <c r="F666" s="175">
        <f t="shared" si="55"/>
        <v>-2190000</v>
      </c>
      <c r="G666" s="167">
        <f t="shared" si="55"/>
        <v>4380000</v>
      </c>
      <c r="H666" s="101" t="e">
        <f t="shared" si="54"/>
        <v>#VALUE!</v>
      </c>
      <c r="I666" s="101">
        <f t="shared" si="56"/>
        <v>-6570000</v>
      </c>
      <c r="J666" s="101">
        <f t="shared" si="54"/>
        <v>-300</v>
      </c>
    </row>
    <row r="667" spans="1:10" ht="20.100000000000001" hidden="1" customHeight="1">
      <c r="A667" s="180"/>
      <c r="B667" s="102" t="s">
        <v>1540</v>
      </c>
      <c r="C667" s="103" t="s">
        <v>153</v>
      </c>
      <c r="D667" s="104">
        <v>74000</v>
      </c>
      <c r="E667" s="104">
        <v>74000</v>
      </c>
      <c r="F667" s="175">
        <f t="shared" si="55"/>
        <v>0</v>
      </c>
      <c r="G667" s="167">
        <f t="shared" si="55"/>
        <v>74000</v>
      </c>
      <c r="H667" s="101" t="e">
        <f t="shared" si="54"/>
        <v>#VALUE!</v>
      </c>
      <c r="I667" s="101">
        <f t="shared" si="56"/>
        <v>-74000</v>
      </c>
      <c r="J667" s="101">
        <f t="shared" si="54"/>
        <v>-100</v>
      </c>
    </row>
    <row r="668" spans="1:10" ht="20.100000000000001" hidden="1" customHeight="1">
      <c r="A668" s="180"/>
      <c r="B668" s="102" t="s">
        <v>1541</v>
      </c>
      <c r="C668" s="103" t="s">
        <v>155</v>
      </c>
      <c r="D668" s="104">
        <v>2116000</v>
      </c>
      <c r="E668" s="104">
        <v>2116000</v>
      </c>
      <c r="F668" s="175">
        <f t="shared" si="55"/>
        <v>0</v>
      </c>
      <c r="G668" s="167">
        <f t="shared" si="55"/>
        <v>2116000</v>
      </c>
      <c r="H668" s="101" t="e">
        <f t="shared" si="54"/>
        <v>#VALUE!</v>
      </c>
      <c r="I668" s="101">
        <f t="shared" si="56"/>
        <v>-2116000</v>
      </c>
      <c r="J668" s="101">
        <f t="shared" si="54"/>
        <v>-100</v>
      </c>
    </row>
    <row r="669" spans="1:10" ht="20.100000000000001" hidden="1" customHeight="1">
      <c r="A669" s="180"/>
      <c r="B669" s="102" t="s">
        <v>1542</v>
      </c>
      <c r="C669" s="103" t="s">
        <v>193</v>
      </c>
      <c r="D669" s="104"/>
      <c r="E669" s="104">
        <v>4131000</v>
      </c>
      <c r="F669" s="175">
        <f t="shared" si="55"/>
        <v>-4131000</v>
      </c>
      <c r="G669" s="167">
        <f t="shared" si="55"/>
        <v>8262000</v>
      </c>
      <c r="H669" s="101" t="e">
        <f t="shared" si="54"/>
        <v>#VALUE!</v>
      </c>
      <c r="I669" s="101">
        <f t="shared" si="56"/>
        <v>-12393000</v>
      </c>
      <c r="J669" s="101">
        <f t="shared" si="54"/>
        <v>-300</v>
      </c>
    </row>
    <row r="670" spans="1:10" ht="20.100000000000001" hidden="1" customHeight="1">
      <c r="A670" s="180"/>
      <c r="B670" s="102" t="s">
        <v>1543</v>
      </c>
      <c r="C670" s="103" t="s">
        <v>195</v>
      </c>
      <c r="D670" s="104">
        <v>4131000</v>
      </c>
      <c r="E670" s="104">
        <v>4131000</v>
      </c>
      <c r="F670" s="175">
        <f t="shared" si="55"/>
        <v>0</v>
      </c>
      <c r="G670" s="167">
        <f t="shared" si="55"/>
        <v>4131000</v>
      </c>
      <c r="H670" s="101" t="e">
        <f t="shared" si="54"/>
        <v>#VALUE!</v>
      </c>
      <c r="I670" s="101">
        <f t="shared" si="56"/>
        <v>-4131000</v>
      </c>
      <c r="J670" s="101">
        <f t="shared" si="54"/>
        <v>-100</v>
      </c>
    </row>
    <row r="671" spans="1:10" ht="20.100000000000001" hidden="1" customHeight="1">
      <c r="A671" s="180"/>
      <c r="B671" s="102" t="s">
        <v>1544</v>
      </c>
      <c r="C671" s="103" t="s">
        <v>157</v>
      </c>
      <c r="D671" s="104"/>
      <c r="E671" s="104">
        <v>1150000</v>
      </c>
      <c r="F671" s="175">
        <f t="shared" si="55"/>
        <v>-1150000</v>
      </c>
      <c r="G671" s="167">
        <f t="shared" si="55"/>
        <v>2300000</v>
      </c>
      <c r="H671" s="101" t="e">
        <f t="shared" si="54"/>
        <v>#VALUE!</v>
      </c>
      <c r="I671" s="101">
        <f t="shared" si="56"/>
        <v>-3450000</v>
      </c>
      <c r="J671" s="101">
        <f t="shared" si="54"/>
        <v>-300</v>
      </c>
    </row>
    <row r="672" spans="1:10" ht="20.100000000000001" hidden="1" customHeight="1">
      <c r="A672" s="180"/>
      <c r="B672" s="102" t="s">
        <v>1545</v>
      </c>
      <c r="C672" s="103" t="s">
        <v>159</v>
      </c>
      <c r="D672" s="104">
        <v>1150000</v>
      </c>
      <c r="E672" s="104">
        <v>1150000</v>
      </c>
      <c r="F672" s="175">
        <f t="shared" si="55"/>
        <v>0</v>
      </c>
      <c r="G672" s="167">
        <f t="shared" si="55"/>
        <v>1150000</v>
      </c>
      <c r="H672" s="101" t="e">
        <f t="shared" si="54"/>
        <v>#VALUE!</v>
      </c>
      <c r="I672" s="101">
        <f t="shared" si="56"/>
        <v>-1150000</v>
      </c>
      <c r="J672" s="101">
        <f t="shared" si="54"/>
        <v>-100</v>
      </c>
    </row>
    <row r="673" spans="1:10" ht="20.100000000000001" customHeight="1" thickBot="1">
      <c r="A673" s="182"/>
      <c r="B673" s="183"/>
      <c r="C673" s="184" t="s">
        <v>64</v>
      </c>
      <c r="D673" s="185">
        <f>D34+D86+D118+D135+D152+D211+D344+D468+D490+D514+D604+D643</f>
        <v>5321184000</v>
      </c>
      <c r="E673" s="185">
        <f>E34+E86+E118+E135+E152+E211+E344+E468+E490+E514+E604+E643</f>
        <v>4537764000</v>
      </c>
      <c r="F673" s="186">
        <f t="shared" si="55"/>
        <v>783420000</v>
      </c>
      <c r="G673" s="167">
        <f t="shared" si="55"/>
        <v>3754344000</v>
      </c>
      <c r="H673" s="101">
        <f>G673/E673*100</f>
        <v>82.735549931640335</v>
      </c>
      <c r="I673" s="115">
        <f t="shared" si="56"/>
        <v>-2970924000</v>
      </c>
      <c r="J673" s="101">
        <f>I673/E673*100</f>
        <v>-65.471099863280685</v>
      </c>
    </row>
    <row r="674" spans="1:10" ht="20.100000000000001" customHeight="1">
      <c r="B674" s="116"/>
      <c r="D674" s="117"/>
    </row>
  </sheetData>
  <mergeCells count="341">
    <mergeCell ref="H658:H659"/>
    <mergeCell ref="I658:I659"/>
    <mergeCell ref="J658:J659"/>
    <mergeCell ref="B658:B659"/>
    <mergeCell ref="C658:C659"/>
    <mergeCell ref="D658:D659"/>
    <mergeCell ref="E658:E659"/>
    <mergeCell ref="F658:F659"/>
    <mergeCell ref="G658:G659"/>
    <mergeCell ref="B644:B645"/>
    <mergeCell ref="C644:C645"/>
    <mergeCell ref="D644:D645"/>
    <mergeCell ref="E644:E645"/>
    <mergeCell ref="F644:F645"/>
    <mergeCell ref="G644:G645"/>
    <mergeCell ref="H644:H645"/>
    <mergeCell ref="I644:I645"/>
    <mergeCell ref="J644:J645"/>
    <mergeCell ref="B618:B619"/>
    <mergeCell ref="C618:C619"/>
    <mergeCell ref="D618:D619"/>
    <mergeCell ref="E618:E619"/>
    <mergeCell ref="F618:F619"/>
    <mergeCell ref="G618:G619"/>
    <mergeCell ref="H618:H619"/>
    <mergeCell ref="I618:I619"/>
    <mergeCell ref="J618:J619"/>
    <mergeCell ref="H573:H574"/>
    <mergeCell ref="I573:I574"/>
    <mergeCell ref="J573:J574"/>
    <mergeCell ref="B605:B606"/>
    <mergeCell ref="C605:C606"/>
    <mergeCell ref="D605:D606"/>
    <mergeCell ref="E605:E606"/>
    <mergeCell ref="F605:F606"/>
    <mergeCell ref="G605:G606"/>
    <mergeCell ref="H605:H606"/>
    <mergeCell ref="B573:B574"/>
    <mergeCell ref="C573:C574"/>
    <mergeCell ref="D573:D574"/>
    <mergeCell ref="E573:E574"/>
    <mergeCell ref="F573:F574"/>
    <mergeCell ref="G573:G574"/>
    <mergeCell ref="I605:I606"/>
    <mergeCell ref="J605:J606"/>
    <mergeCell ref="B545:B546"/>
    <mergeCell ref="C545:C546"/>
    <mergeCell ref="D545:D546"/>
    <mergeCell ref="E545:E546"/>
    <mergeCell ref="F545:F546"/>
    <mergeCell ref="G545:G546"/>
    <mergeCell ref="H545:H546"/>
    <mergeCell ref="I545:I546"/>
    <mergeCell ref="J545:J546"/>
    <mergeCell ref="B515:B516"/>
    <mergeCell ref="C515:C516"/>
    <mergeCell ref="D515:D516"/>
    <mergeCell ref="E515:E516"/>
    <mergeCell ref="F515:F516"/>
    <mergeCell ref="G515:G516"/>
    <mergeCell ref="H515:H516"/>
    <mergeCell ref="I515:I516"/>
    <mergeCell ref="J515:J516"/>
    <mergeCell ref="H469:H470"/>
    <mergeCell ref="I469:I470"/>
    <mergeCell ref="J469:J470"/>
    <mergeCell ref="B491:B492"/>
    <mergeCell ref="C491:C492"/>
    <mergeCell ref="D491:D492"/>
    <mergeCell ref="E491:E492"/>
    <mergeCell ref="F491:F492"/>
    <mergeCell ref="G491:G492"/>
    <mergeCell ref="H491:H492"/>
    <mergeCell ref="B469:B470"/>
    <mergeCell ref="C469:C470"/>
    <mergeCell ref="D469:D470"/>
    <mergeCell ref="E469:E470"/>
    <mergeCell ref="F469:F470"/>
    <mergeCell ref="G469:G470"/>
    <mergeCell ref="I491:I492"/>
    <mergeCell ref="J491:J492"/>
    <mergeCell ref="B449:B450"/>
    <mergeCell ref="C449:C450"/>
    <mergeCell ref="D449:D450"/>
    <mergeCell ref="E449:E450"/>
    <mergeCell ref="F449:F450"/>
    <mergeCell ref="G449:G450"/>
    <mergeCell ref="H449:H450"/>
    <mergeCell ref="I449:I450"/>
    <mergeCell ref="J449:J450"/>
    <mergeCell ref="B431:B432"/>
    <mergeCell ref="C431:C432"/>
    <mergeCell ref="D431:D432"/>
    <mergeCell ref="E431:E432"/>
    <mergeCell ref="F431:F432"/>
    <mergeCell ref="G431:G432"/>
    <mergeCell ref="H431:H432"/>
    <mergeCell ref="I431:I432"/>
    <mergeCell ref="J431:J432"/>
    <mergeCell ref="H396:H397"/>
    <mergeCell ref="I396:I397"/>
    <mergeCell ref="J396:J397"/>
    <mergeCell ref="B414:B415"/>
    <mergeCell ref="C414:C415"/>
    <mergeCell ref="D414:D415"/>
    <mergeCell ref="E414:E415"/>
    <mergeCell ref="F414:F415"/>
    <mergeCell ref="G414:G415"/>
    <mergeCell ref="H414:H415"/>
    <mergeCell ref="B396:B397"/>
    <mergeCell ref="C396:C397"/>
    <mergeCell ref="D396:D397"/>
    <mergeCell ref="E396:E397"/>
    <mergeCell ref="F396:F397"/>
    <mergeCell ref="G396:G397"/>
    <mergeCell ref="I414:I415"/>
    <mergeCell ref="J414:J415"/>
    <mergeCell ref="B379:B380"/>
    <mergeCell ref="C379:C380"/>
    <mergeCell ref="D379:D380"/>
    <mergeCell ref="E379:E380"/>
    <mergeCell ref="F379:F380"/>
    <mergeCell ref="G379:G380"/>
    <mergeCell ref="H379:H380"/>
    <mergeCell ref="I379:I380"/>
    <mergeCell ref="J379:J380"/>
    <mergeCell ref="B360:B361"/>
    <mergeCell ref="C360:C361"/>
    <mergeCell ref="D360:D361"/>
    <mergeCell ref="E360:E361"/>
    <mergeCell ref="F360:F361"/>
    <mergeCell ref="G360:G361"/>
    <mergeCell ref="H360:H361"/>
    <mergeCell ref="I360:I361"/>
    <mergeCell ref="J360:J361"/>
    <mergeCell ref="H322:H323"/>
    <mergeCell ref="I322:I323"/>
    <mergeCell ref="J322:J323"/>
    <mergeCell ref="B345:B346"/>
    <mergeCell ref="C345:C346"/>
    <mergeCell ref="D345:D346"/>
    <mergeCell ref="E345:E346"/>
    <mergeCell ref="F345:F346"/>
    <mergeCell ref="G345:G346"/>
    <mergeCell ref="H345:H346"/>
    <mergeCell ref="B322:B323"/>
    <mergeCell ref="C322:C323"/>
    <mergeCell ref="D322:D323"/>
    <mergeCell ref="E322:E323"/>
    <mergeCell ref="F322:F323"/>
    <mergeCell ref="G322:G323"/>
    <mergeCell ref="I345:I346"/>
    <mergeCell ref="J345:J346"/>
    <mergeCell ref="B298:B299"/>
    <mergeCell ref="C298:C299"/>
    <mergeCell ref="D298:D299"/>
    <mergeCell ref="E298:E299"/>
    <mergeCell ref="F298:F299"/>
    <mergeCell ref="G298:G299"/>
    <mergeCell ref="H298:H299"/>
    <mergeCell ref="I298:I299"/>
    <mergeCell ref="J298:J299"/>
    <mergeCell ref="B274:B275"/>
    <mergeCell ref="C274:C275"/>
    <mergeCell ref="D274:D275"/>
    <mergeCell ref="E274:E275"/>
    <mergeCell ref="F274:F275"/>
    <mergeCell ref="G274:G275"/>
    <mergeCell ref="H274:H275"/>
    <mergeCell ref="I274:I275"/>
    <mergeCell ref="J274:J275"/>
    <mergeCell ref="H231:H232"/>
    <mergeCell ref="I231:I232"/>
    <mergeCell ref="J231:J232"/>
    <mergeCell ref="B251:B252"/>
    <mergeCell ref="C251:C252"/>
    <mergeCell ref="D251:D252"/>
    <mergeCell ref="E251:E252"/>
    <mergeCell ref="F251:F252"/>
    <mergeCell ref="G251:G252"/>
    <mergeCell ref="H251:H252"/>
    <mergeCell ref="B231:B232"/>
    <mergeCell ref="C231:C232"/>
    <mergeCell ref="D231:D232"/>
    <mergeCell ref="E231:E232"/>
    <mergeCell ref="F231:F232"/>
    <mergeCell ref="G231:G232"/>
    <mergeCell ref="I251:I252"/>
    <mergeCell ref="J251:J252"/>
    <mergeCell ref="B212:B213"/>
    <mergeCell ref="C212:C213"/>
    <mergeCell ref="D212:D213"/>
    <mergeCell ref="E212:E213"/>
    <mergeCell ref="F212:F213"/>
    <mergeCell ref="G212:G213"/>
    <mergeCell ref="H212:H213"/>
    <mergeCell ref="I212:I213"/>
    <mergeCell ref="J212:J213"/>
    <mergeCell ref="B189:B190"/>
    <mergeCell ref="C189:C190"/>
    <mergeCell ref="D189:D190"/>
    <mergeCell ref="E189:E190"/>
    <mergeCell ref="F189:F190"/>
    <mergeCell ref="G189:G190"/>
    <mergeCell ref="H189:H190"/>
    <mergeCell ref="I189:I190"/>
    <mergeCell ref="J189:J190"/>
    <mergeCell ref="H162:H163"/>
    <mergeCell ref="I162:I163"/>
    <mergeCell ref="J162:J163"/>
    <mergeCell ref="B184:B185"/>
    <mergeCell ref="C184:C185"/>
    <mergeCell ref="D184:D185"/>
    <mergeCell ref="E184:E185"/>
    <mergeCell ref="F184:F185"/>
    <mergeCell ref="G184:G185"/>
    <mergeCell ref="H184:H185"/>
    <mergeCell ref="B162:B163"/>
    <mergeCell ref="C162:C163"/>
    <mergeCell ref="D162:D163"/>
    <mergeCell ref="E162:E163"/>
    <mergeCell ref="F162:F163"/>
    <mergeCell ref="G162:G163"/>
    <mergeCell ref="I184:I185"/>
    <mergeCell ref="J184:J185"/>
    <mergeCell ref="B153:B154"/>
    <mergeCell ref="C153:C154"/>
    <mergeCell ref="D153:D154"/>
    <mergeCell ref="E153:E154"/>
    <mergeCell ref="F153:F154"/>
    <mergeCell ref="G153:G154"/>
    <mergeCell ref="H153:H154"/>
    <mergeCell ref="I153:I154"/>
    <mergeCell ref="J153:J154"/>
    <mergeCell ref="B136:B137"/>
    <mergeCell ref="C136:C137"/>
    <mergeCell ref="D136:D137"/>
    <mergeCell ref="E136:E137"/>
    <mergeCell ref="F136:F137"/>
    <mergeCell ref="G136:G137"/>
    <mergeCell ref="H136:H137"/>
    <mergeCell ref="I136:I137"/>
    <mergeCell ref="J136:J137"/>
    <mergeCell ref="H113:H114"/>
    <mergeCell ref="I113:I114"/>
    <mergeCell ref="J113:J114"/>
    <mergeCell ref="B119:B120"/>
    <mergeCell ref="C119:C120"/>
    <mergeCell ref="D119:D120"/>
    <mergeCell ref="E119:E120"/>
    <mergeCell ref="F119:F120"/>
    <mergeCell ref="G119:G120"/>
    <mergeCell ref="H119:H120"/>
    <mergeCell ref="B113:B114"/>
    <mergeCell ref="C113:C114"/>
    <mergeCell ref="D113:D114"/>
    <mergeCell ref="E113:E114"/>
    <mergeCell ref="F113:F114"/>
    <mergeCell ref="G113:G114"/>
    <mergeCell ref="I119:I120"/>
    <mergeCell ref="J119:J120"/>
    <mergeCell ref="B108:B109"/>
    <mergeCell ref="C108:C109"/>
    <mergeCell ref="D108:D109"/>
    <mergeCell ref="E108:E109"/>
    <mergeCell ref="F108:F109"/>
    <mergeCell ref="G108:G109"/>
    <mergeCell ref="H108:H109"/>
    <mergeCell ref="I108:I109"/>
    <mergeCell ref="J108:J109"/>
    <mergeCell ref="B99:B100"/>
    <mergeCell ref="C99:C100"/>
    <mergeCell ref="D99:D100"/>
    <mergeCell ref="E99:E100"/>
    <mergeCell ref="F99:F100"/>
    <mergeCell ref="G99:G100"/>
    <mergeCell ref="H99:H100"/>
    <mergeCell ref="I99:I100"/>
    <mergeCell ref="J99:J100"/>
    <mergeCell ref="H75:H76"/>
    <mergeCell ref="I75:I76"/>
    <mergeCell ref="J75:J76"/>
    <mergeCell ref="B87:B88"/>
    <mergeCell ref="C87:C88"/>
    <mergeCell ref="D87:D88"/>
    <mergeCell ref="E87:E88"/>
    <mergeCell ref="F87:F88"/>
    <mergeCell ref="G87:G88"/>
    <mergeCell ref="H87:H88"/>
    <mergeCell ref="B75:B76"/>
    <mergeCell ref="C75:C76"/>
    <mergeCell ref="D75:D76"/>
    <mergeCell ref="E75:E76"/>
    <mergeCell ref="F75:F76"/>
    <mergeCell ref="G75:G76"/>
    <mergeCell ref="I87:I88"/>
    <mergeCell ref="J87:J88"/>
    <mergeCell ref="B66:B67"/>
    <mergeCell ref="C66:C67"/>
    <mergeCell ref="D66:D67"/>
    <mergeCell ref="E66:E67"/>
    <mergeCell ref="F66:F67"/>
    <mergeCell ref="G66:G67"/>
    <mergeCell ref="H66:H67"/>
    <mergeCell ref="I66:I67"/>
    <mergeCell ref="J66:J67"/>
    <mergeCell ref="I43:I44"/>
    <mergeCell ref="J43:J44"/>
    <mergeCell ref="B52:B53"/>
    <mergeCell ref="C52:C53"/>
    <mergeCell ref="D52:D53"/>
    <mergeCell ref="E52:E53"/>
    <mergeCell ref="F52:F53"/>
    <mergeCell ref="G52:G53"/>
    <mergeCell ref="H52:H53"/>
    <mergeCell ref="I52:I53"/>
    <mergeCell ref="J52:J53"/>
    <mergeCell ref="B43:B44"/>
    <mergeCell ref="C43:C44"/>
    <mergeCell ref="D43:D44"/>
    <mergeCell ref="E43:E44"/>
    <mergeCell ref="F43:F44"/>
    <mergeCell ref="G43:G44"/>
    <mergeCell ref="H43:H44"/>
    <mergeCell ref="B35:B36"/>
    <mergeCell ref="C35:C36"/>
    <mergeCell ref="D35:D36"/>
    <mergeCell ref="E35:E36"/>
    <mergeCell ref="F35:F36"/>
    <mergeCell ref="G35:G36"/>
    <mergeCell ref="B4:J4"/>
    <mergeCell ref="G5:J5"/>
    <mergeCell ref="A6:A7"/>
    <mergeCell ref="B6:B7"/>
    <mergeCell ref="C6:C7"/>
    <mergeCell ref="D6:D7"/>
    <mergeCell ref="E6:E7"/>
    <mergeCell ref="F6:F7"/>
    <mergeCell ref="H35:H36"/>
    <mergeCell ref="I35:I36"/>
    <mergeCell ref="J35:J36"/>
  </mergeCells>
  <pageMargins left="0.31496062992125984" right="0.11811023622047245" top="0.15748031496062992" bottom="0.74803149606299213" header="0.31496062992125984" footer="0.31496062992125984"/>
  <pageSetup paperSize="258" scale="85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FF00"/>
  </sheetPr>
  <dimension ref="A1:J674"/>
  <sheetViews>
    <sheetView zoomScaleSheetLayoutView="115" workbookViewId="0">
      <selection activeCell="G7" sqref="G7"/>
    </sheetView>
  </sheetViews>
  <sheetFormatPr defaultRowHeight="15"/>
  <cols>
    <col min="1" max="1" width="5.85546875" style="96" customWidth="1"/>
    <col min="2" max="2" width="18.42578125" style="96" customWidth="1"/>
    <col min="3" max="3" width="48" style="96" customWidth="1"/>
    <col min="4" max="4" width="17.140625" style="96" customWidth="1"/>
    <col min="5" max="5" width="16.42578125" style="96" customWidth="1"/>
    <col min="6" max="6" width="14.5703125" style="96" customWidth="1"/>
    <col min="7" max="7" width="16.5703125" style="96" customWidth="1"/>
    <col min="8" max="8" width="8.7109375" style="96" customWidth="1"/>
    <col min="9" max="9" width="16" style="96" customWidth="1"/>
    <col min="10" max="10" width="9.5703125" style="96" customWidth="1"/>
    <col min="11" max="16384" width="9.140625" style="96"/>
  </cols>
  <sheetData>
    <row r="1" spans="1:10" ht="21">
      <c r="A1" s="164" t="s">
        <v>1572</v>
      </c>
      <c r="B1" s="164"/>
      <c r="C1" s="164"/>
      <c r="D1" s="164"/>
      <c r="E1" s="164"/>
      <c r="F1" s="164"/>
      <c r="G1" s="164"/>
      <c r="H1" s="164"/>
      <c r="I1" s="164"/>
      <c r="J1" s="164"/>
    </row>
    <row r="2" spans="1:10" ht="21">
      <c r="A2" s="164" t="s">
        <v>1573</v>
      </c>
      <c r="B2" s="164"/>
      <c r="C2" s="164"/>
      <c r="D2" s="164"/>
      <c r="E2" s="164"/>
      <c r="F2" s="164"/>
      <c r="G2" s="164"/>
      <c r="H2" s="164"/>
      <c r="I2" s="164"/>
      <c r="J2" s="164"/>
    </row>
    <row r="3" spans="1:10" ht="21">
      <c r="A3" s="164"/>
      <c r="B3" s="164"/>
      <c r="C3" s="164"/>
      <c r="D3" s="164"/>
      <c r="E3" s="164"/>
      <c r="F3" s="164"/>
    </row>
    <row r="4" spans="1:10" ht="20.100000000000001" customHeight="1">
      <c r="B4" s="203"/>
      <c r="C4" s="203"/>
      <c r="D4" s="203"/>
      <c r="E4" s="203"/>
      <c r="F4" s="203"/>
      <c r="G4" s="203"/>
      <c r="H4" s="203"/>
      <c r="I4" s="203"/>
      <c r="J4" s="203"/>
    </row>
    <row r="5" spans="1:10" ht="45.75" customHeight="1">
      <c r="A5" s="118" t="s">
        <v>21</v>
      </c>
      <c r="B5" s="119" t="s">
        <v>892</v>
      </c>
      <c r="C5" s="120" t="s">
        <v>23</v>
      </c>
      <c r="D5" s="120" t="s">
        <v>893</v>
      </c>
      <c r="E5" s="120" t="s">
        <v>1549</v>
      </c>
      <c r="F5" s="121" t="s">
        <v>1548</v>
      </c>
      <c r="G5" s="220" t="s">
        <v>1574</v>
      </c>
      <c r="H5" s="204"/>
      <c r="I5" s="204"/>
      <c r="J5" s="205"/>
    </row>
    <row r="6" spans="1:10" ht="47.25" customHeight="1">
      <c r="A6" s="218">
        <v>1</v>
      </c>
      <c r="B6" s="208">
        <v>2</v>
      </c>
      <c r="C6" s="210">
        <v>3</v>
      </c>
      <c r="D6" s="210">
        <v>4</v>
      </c>
      <c r="E6" s="210">
        <v>5</v>
      </c>
      <c r="F6" s="210" t="s">
        <v>30</v>
      </c>
      <c r="G6" s="121" t="s">
        <v>1575</v>
      </c>
      <c r="H6" s="123" t="s">
        <v>26</v>
      </c>
      <c r="I6" s="123" t="s">
        <v>894</v>
      </c>
      <c r="J6" s="123" t="s">
        <v>26</v>
      </c>
    </row>
    <row r="7" spans="1:10" ht="34.5" customHeight="1">
      <c r="A7" s="219"/>
      <c r="B7" s="209"/>
      <c r="C7" s="211"/>
      <c r="D7" s="211"/>
      <c r="E7" s="211"/>
      <c r="F7" s="211"/>
      <c r="G7" s="121">
        <v>7</v>
      </c>
      <c r="H7" s="122" t="s">
        <v>1550</v>
      </c>
      <c r="I7" s="122" t="s">
        <v>1551</v>
      </c>
      <c r="J7" s="122" t="s">
        <v>1552</v>
      </c>
    </row>
    <row r="8" spans="1:10" ht="20.100000000000001" customHeight="1">
      <c r="A8" s="118" t="s">
        <v>79</v>
      </c>
      <c r="B8" s="124" t="s">
        <v>895</v>
      </c>
      <c r="C8" s="98" t="s">
        <v>896</v>
      </c>
      <c r="D8" s="99">
        <v>33000000</v>
      </c>
      <c r="E8" s="99">
        <f>E9</f>
        <v>170500000</v>
      </c>
      <c r="F8" s="100">
        <f>D8-E8</f>
        <v>-137500000</v>
      </c>
      <c r="G8" s="100">
        <f>G9</f>
        <v>56745500</v>
      </c>
      <c r="H8" s="101">
        <f>G8/E8*100</f>
        <v>33.281818181818181</v>
      </c>
      <c r="I8" s="101">
        <f>E8-G8</f>
        <v>113754500</v>
      </c>
      <c r="J8" s="101">
        <f>I8/E8*100</f>
        <v>66.718181818181819</v>
      </c>
    </row>
    <row r="9" spans="1:10" ht="20.100000000000001" customHeight="1">
      <c r="A9" s="118"/>
      <c r="B9" s="124" t="s">
        <v>897</v>
      </c>
      <c r="C9" s="98" t="s">
        <v>898</v>
      </c>
      <c r="D9" s="99">
        <f>D10</f>
        <v>33000000</v>
      </c>
      <c r="E9" s="99">
        <f>E10+E13</f>
        <v>170500000</v>
      </c>
      <c r="F9" s="100">
        <f t="shared" ref="F9:G74" si="0">D9-E9</f>
        <v>-137500000</v>
      </c>
      <c r="G9" s="100">
        <f>'rekap REALISASI REKO '!AQ11</f>
        <v>56745500</v>
      </c>
      <c r="H9" s="101">
        <f>G9/E9*100</f>
        <v>33.281818181818181</v>
      </c>
      <c r="I9" s="101">
        <f>E9-G9</f>
        <v>113754500</v>
      </c>
      <c r="J9" s="101">
        <f t="shared" ref="H9:J73" si="1">I9/E9*100</f>
        <v>66.718181818181819</v>
      </c>
    </row>
    <row r="10" spans="1:10" ht="20.100000000000001" hidden="1" customHeight="1">
      <c r="A10" s="118"/>
      <c r="B10" s="125" t="s">
        <v>899</v>
      </c>
      <c r="C10" s="103" t="s">
        <v>74</v>
      </c>
      <c r="D10" s="104">
        <v>33000000</v>
      </c>
      <c r="E10" s="104">
        <v>33000000</v>
      </c>
      <c r="F10" s="100">
        <f t="shared" si="0"/>
        <v>0</v>
      </c>
      <c r="G10" s="100">
        <f t="shared" si="0"/>
        <v>33000000</v>
      </c>
      <c r="H10" s="101" t="e">
        <f t="shared" si="1"/>
        <v>#VALUE!</v>
      </c>
      <c r="I10" s="101">
        <f t="shared" ref="I10:I31" si="2">F10-G10</f>
        <v>-33000000</v>
      </c>
      <c r="J10" s="101">
        <f t="shared" si="1"/>
        <v>-100</v>
      </c>
    </row>
    <row r="11" spans="1:10" ht="20.100000000000001" hidden="1" customHeight="1">
      <c r="A11" s="118"/>
      <c r="B11" s="125" t="s">
        <v>900</v>
      </c>
      <c r="C11" s="103" t="s">
        <v>901</v>
      </c>
      <c r="D11" s="104">
        <v>33000000</v>
      </c>
      <c r="E11" s="104">
        <v>33000000</v>
      </c>
      <c r="F11" s="100">
        <f t="shared" si="0"/>
        <v>0</v>
      </c>
      <c r="G11" s="100">
        <f t="shared" si="0"/>
        <v>33000000</v>
      </c>
      <c r="H11" s="101" t="e">
        <f t="shared" si="1"/>
        <v>#VALUE!</v>
      </c>
      <c r="I11" s="101">
        <f t="shared" si="2"/>
        <v>-33000000</v>
      </c>
      <c r="J11" s="101">
        <f t="shared" si="1"/>
        <v>-100</v>
      </c>
    </row>
    <row r="12" spans="1:10" ht="20.100000000000001" hidden="1" customHeight="1">
      <c r="A12" s="118"/>
      <c r="B12" s="125" t="s">
        <v>902</v>
      </c>
      <c r="C12" s="103" t="s">
        <v>76</v>
      </c>
      <c r="D12" s="104">
        <v>33000000</v>
      </c>
      <c r="E12" s="104">
        <v>33000000</v>
      </c>
      <c r="F12" s="100">
        <f t="shared" si="0"/>
        <v>0</v>
      </c>
      <c r="G12" s="100">
        <f t="shared" si="0"/>
        <v>33000000</v>
      </c>
      <c r="H12" s="101" t="e">
        <f t="shared" si="1"/>
        <v>#VALUE!</v>
      </c>
      <c r="I12" s="101">
        <f t="shared" si="2"/>
        <v>-33000000</v>
      </c>
      <c r="J12" s="101">
        <f t="shared" si="1"/>
        <v>-100</v>
      </c>
    </row>
    <row r="13" spans="1:10" ht="44.25" hidden="1" customHeight="1">
      <c r="A13" s="118"/>
      <c r="B13" s="125" t="s">
        <v>903</v>
      </c>
      <c r="C13" s="103" t="s">
        <v>904</v>
      </c>
      <c r="D13" s="104">
        <v>0</v>
      </c>
      <c r="E13" s="104">
        <v>137500000</v>
      </c>
      <c r="F13" s="100">
        <f t="shared" si="0"/>
        <v>-137500000</v>
      </c>
      <c r="G13" s="100">
        <f t="shared" si="0"/>
        <v>275000000</v>
      </c>
      <c r="H13" s="101" t="e">
        <f t="shared" si="1"/>
        <v>#VALUE!</v>
      </c>
      <c r="I13" s="101">
        <f t="shared" si="2"/>
        <v>-412500000</v>
      </c>
      <c r="J13" s="101">
        <f t="shared" si="1"/>
        <v>-300</v>
      </c>
    </row>
    <row r="14" spans="1:10" ht="20.100000000000001" customHeight="1">
      <c r="A14" s="118"/>
      <c r="B14" s="124"/>
      <c r="C14" s="98"/>
      <c r="D14" s="99"/>
      <c r="E14" s="99"/>
      <c r="F14" s="100"/>
      <c r="G14" s="100"/>
      <c r="H14" s="101"/>
      <c r="I14" s="101"/>
      <c r="J14" s="101"/>
    </row>
    <row r="15" spans="1:10" ht="20.100000000000001" customHeight="1">
      <c r="A15" s="118" t="s">
        <v>136</v>
      </c>
      <c r="B15" s="124" t="s">
        <v>905</v>
      </c>
      <c r="C15" s="98" t="s">
        <v>9</v>
      </c>
      <c r="D15" s="99">
        <v>6341834000</v>
      </c>
      <c r="E15" s="99">
        <v>6048349000</v>
      </c>
      <c r="F15" s="100">
        <f t="shared" si="0"/>
        <v>293485000</v>
      </c>
      <c r="G15" s="100">
        <f>'rekap REALISASI REKO '!AQ15</f>
        <v>5537071836</v>
      </c>
      <c r="H15" s="101">
        <f>G15/E15*100</f>
        <v>91.546830978172721</v>
      </c>
      <c r="I15" s="101">
        <f>E15-G15</f>
        <v>511277164</v>
      </c>
      <c r="J15" s="101">
        <f t="shared" si="1"/>
        <v>8.4531690218272786</v>
      </c>
    </row>
    <row r="16" spans="1:10" ht="20.100000000000001" hidden="1" customHeight="1">
      <c r="A16" s="118"/>
      <c r="B16" s="125" t="s">
        <v>906</v>
      </c>
      <c r="C16" s="103" t="s">
        <v>10</v>
      </c>
      <c r="D16" s="104">
        <f>D17+D28+D30</f>
        <v>6341834000</v>
      </c>
      <c r="E16" s="104">
        <v>6341834000</v>
      </c>
      <c r="F16" s="100">
        <f t="shared" si="0"/>
        <v>0</v>
      </c>
      <c r="G16" s="100">
        <f t="shared" si="0"/>
        <v>6341834000</v>
      </c>
      <c r="H16" s="101" t="e">
        <f t="shared" si="1"/>
        <v>#VALUE!</v>
      </c>
      <c r="I16" s="101">
        <f t="shared" si="2"/>
        <v>-6341834000</v>
      </c>
      <c r="J16" s="101">
        <f t="shared" si="1"/>
        <v>-100</v>
      </c>
    </row>
    <row r="17" spans="1:10" ht="20.100000000000001" hidden="1" customHeight="1">
      <c r="A17" s="118"/>
      <c r="B17" s="125" t="s">
        <v>907</v>
      </c>
      <c r="C17" s="103" t="s">
        <v>25</v>
      </c>
      <c r="D17" s="104">
        <f>SUM(D18:D27)</f>
        <v>5314124000</v>
      </c>
      <c r="E17" s="104">
        <v>5314124000</v>
      </c>
      <c r="F17" s="100">
        <f t="shared" si="0"/>
        <v>0</v>
      </c>
      <c r="G17" s="100">
        <f t="shared" si="0"/>
        <v>5314124000</v>
      </c>
      <c r="H17" s="101" t="e">
        <f t="shared" si="1"/>
        <v>#VALUE!</v>
      </c>
      <c r="I17" s="101">
        <f t="shared" si="2"/>
        <v>-5314124000</v>
      </c>
      <c r="J17" s="101">
        <f t="shared" si="1"/>
        <v>-100</v>
      </c>
    </row>
    <row r="18" spans="1:10" ht="20.100000000000001" hidden="1" customHeight="1">
      <c r="A18" s="118"/>
      <c r="B18" s="125" t="s">
        <v>908</v>
      </c>
      <c r="C18" s="103" t="s">
        <v>27</v>
      </c>
      <c r="D18" s="104">
        <v>4097850000</v>
      </c>
      <c r="E18" s="104">
        <v>4097850000</v>
      </c>
      <c r="F18" s="100">
        <f t="shared" si="0"/>
        <v>0</v>
      </c>
      <c r="G18" s="100">
        <f t="shared" si="0"/>
        <v>4097850000</v>
      </c>
      <c r="H18" s="101" t="e">
        <f t="shared" si="1"/>
        <v>#VALUE!</v>
      </c>
      <c r="I18" s="101">
        <f t="shared" si="2"/>
        <v>-4097850000</v>
      </c>
      <c r="J18" s="101">
        <f t="shared" si="1"/>
        <v>-100</v>
      </c>
    </row>
    <row r="19" spans="1:10" ht="20.100000000000001" hidden="1" customHeight="1">
      <c r="A19" s="118"/>
      <c r="B19" s="125" t="s">
        <v>909</v>
      </c>
      <c r="C19" s="103" t="s">
        <v>84</v>
      </c>
      <c r="D19" s="104">
        <v>400368000</v>
      </c>
      <c r="E19" s="104">
        <v>400368000</v>
      </c>
      <c r="F19" s="100">
        <f t="shared" si="0"/>
        <v>0</v>
      </c>
      <c r="G19" s="100">
        <f t="shared" si="0"/>
        <v>400368000</v>
      </c>
      <c r="H19" s="101" t="e">
        <f t="shared" si="1"/>
        <v>#VALUE!</v>
      </c>
      <c r="I19" s="101">
        <f t="shared" si="2"/>
        <v>-400368000</v>
      </c>
      <c r="J19" s="101">
        <f t="shared" si="1"/>
        <v>-100</v>
      </c>
    </row>
    <row r="20" spans="1:10" ht="20.100000000000001" hidden="1" customHeight="1">
      <c r="A20" s="118"/>
      <c r="B20" s="125" t="s">
        <v>910</v>
      </c>
      <c r="C20" s="103" t="s">
        <v>911</v>
      </c>
      <c r="D20" s="104">
        <v>178091000</v>
      </c>
      <c r="E20" s="104">
        <v>178091000</v>
      </c>
      <c r="F20" s="100">
        <f t="shared" si="0"/>
        <v>0</v>
      </c>
      <c r="G20" s="100">
        <f t="shared" si="0"/>
        <v>178091000</v>
      </c>
      <c r="H20" s="101" t="e">
        <f t="shared" si="1"/>
        <v>#VALUE!</v>
      </c>
      <c r="I20" s="101">
        <f t="shared" si="2"/>
        <v>-178091000</v>
      </c>
      <c r="J20" s="101">
        <f t="shared" si="1"/>
        <v>-100</v>
      </c>
    </row>
    <row r="21" spans="1:10" ht="20.100000000000001" hidden="1" customHeight="1">
      <c r="A21" s="118"/>
      <c r="B21" s="125" t="s">
        <v>912</v>
      </c>
      <c r="C21" s="103" t="s">
        <v>88</v>
      </c>
      <c r="D21" s="104">
        <v>245299000</v>
      </c>
      <c r="E21" s="104">
        <v>245299000</v>
      </c>
      <c r="F21" s="100">
        <f t="shared" si="0"/>
        <v>0</v>
      </c>
      <c r="G21" s="100">
        <f t="shared" si="0"/>
        <v>245299000</v>
      </c>
      <c r="H21" s="101" t="e">
        <f t="shared" si="1"/>
        <v>#VALUE!</v>
      </c>
      <c r="I21" s="101">
        <f t="shared" si="2"/>
        <v>-245299000</v>
      </c>
      <c r="J21" s="101">
        <f t="shared" si="1"/>
        <v>-100</v>
      </c>
    </row>
    <row r="22" spans="1:10" ht="20.100000000000001" hidden="1" customHeight="1">
      <c r="A22" s="118"/>
      <c r="B22" s="125" t="s">
        <v>913</v>
      </c>
      <c r="C22" s="103" t="s">
        <v>11</v>
      </c>
      <c r="D22" s="104">
        <v>52496000</v>
      </c>
      <c r="E22" s="104">
        <v>52496000</v>
      </c>
      <c r="F22" s="100">
        <f t="shared" si="0"/>
        <v>0</v>
      </c>
      <c r="G22" s="100">
        <f t="shared" si="0"/>
        <v>52496000</v>
      </c>
      <c r="H22" s="101" t="e">
        <f t="shared" si="1"/>
        <v>#VALUE!</v>
      </c>
      <c r="I22" s="101">
        <f t="shared" si="2"/>
        <v>-52496000</v>
      </c>
      <c r="J22" s="101">
        <f t="shared" si="1"/>
        <v>-100</v>
      </c>
    </row>
    <row r="23" spans="1:10" ht="20.100000000000001" hidden="1" customHeight="1">
      <c r="A23" s="118"/>
      <c r="B23" s="125" t="s">
        <v>914</v>
      </c>
      <c r="C23" s="103" t="s">
        <v>915</v>
      </c>
      <c r="D23" s="104">
        <v>173808000</v>
      </c>
      <c r="E23" s="104">
        <v>173808000</v>
      </c>
      <c r="F23" s="100">
        <f t="shared" si="0"/>
        <v>0</v>
      </c>
      <c r="G23" s="100">
        <f t="shared" si="0"/>
        <v>173808000</v>
      </c>
      <c r="H23" s="101" t="e">
        <f t="shared" si="1"/>
        <v>#VALUE!</v>
      </c>
      <c r="I23" s="101">
        <f t="shared" si="2"/>
        <v>-173808000</v>
      </c>
      <c r="J23" s="101">
        <f t="shared" si="1"/>
        <v>-100</v>
      </c>
    </row>
    <row r="24" spans="1:10" ht="20.100000000000001" hidden="1" customHeight="1">
      <c r="A24" s="118"/>
      <c r="B24" s="125" t="s">
        <v>916</v>
      </c>
      <c r="C24" s="103" t="s">
        <v>93</v>
      </c>
      <c r="D24" s="104">
        <v>22817000</v>
      </c>
      <c r="E24" s="104">
        <v>22817000</v>
      </c>
      <c r="F24" s="100">
        <f t="shared" si="0"/>
        <v>0</v>
      </c>
      <c r="G24" s="100">
        <f t="shared" si="0"/>
        <v>22817000</v>
      </c>
      <c r="H24" s="101" t="e">
        <f t="shared" si="1"/>
        <v>#VALUE!</v>
      </c>
      <c r="I24" s="101">
        <f t="shared" si="2"/>
        <v>-22817000</v>
      </c>
      <c r="J24" s="101">
        <f t="shared" si="1"/>
        <v>-100</v>
      </c>
    </row>
    <row r="25" spans="1:10" ht="20.100000000000001" hidden="1" customHeight="1">
      <c r="A25" s="118"/>
      <c r="B25" s="125" t="s">
        <v>917</v>
      </c>
      <c r="C25" s="103" t="s">
        <v>95</v>
      </c>
      <c r="D25" s="104">
        <v>70000</v>
      </c>
      <c r="E25" s="104">
        <v>70000</v>
      </c>
      <c r="F25" s="100">
        <f t="shared" si="0"/>
        <v>0</v>
      </c>
      <c r="G25" s="100">
        <f t="shared" si="0"/>
        <v>70000</v>
      </c>
      <c r="H25" s="101" t="e">
        <f t="shared" si="1"/>
        <v>#VALUE!</v>
      </c>
      <c r="I25" s="101">
        <f t="shared" si="2"/>
        <v>-70000</v>
      </c>
      <c r="J25" s="101">
        <f t="shared" si="1"/>
        <v>-100</v>
      </c>
    </row>
    <row r="26" spans="1:10" ht="20.100000000000001" hidden="1" customHeight="1">
      <c r="A26" s="118"/>
      <c r="B26" s="125" t="s">
        <v>918</v>
      </c>
      <c r="C26" s="103" t="s">
        <v>28</v>
      </c>
      <c r="D26" s="104">
        <v>111998000</v>
      </c>
      <c r="E26" s="104">
        <v>111998000</v>
      </c>
      <c r="F26" s="100">
        <f t="shared" si="0"/>
        <v>0</v>
      </c>
      <c r="G26" s="100">
        <f t="shared" si="0"/>
        <v>111998000</v>
      </c>
      <c r="H26" s="101" t="e">
        <f t="shared" si="1"/>
        <v>#VALUE!</v>
      </c>
      <c r="I26" s="101">
        <f t="shared" si="2"/>
        <v>-111998000</v>
      </c>
      <c r="J26" s="101">
        <f t="shared" si="1"/>
        <v>-100</v>
      </c>
    </row>
    <row r="27" spans="1:10" ht="20.100000000000001" hidden="1" customHeight="1">
      <c r="A27" s="118"/>
      <c r="B27" s="125" t="s">
        <v>919</v>
      </c>
      <c r="C27" s="103" t="s">
        <v>38</v>
      </c>
      <c r="D27" s="104">
        <v>31327000</v>
      </c>
      <c r="E27" s="104">
        <v>31327000</v>
      </c>
      <c r="F27" s="100">
        <f t="shared" si="0"/>
        <v>0</v>
      </c>
      <c r="G27" s="100">
        <f t="shared" si="0"/>
        <v>31327000</v>
      </c>
      <c r="H27" s="101" t="e">
        <f t="shared" si="1"/>
        <v>#VALUE!</v>
      </c>
      <c r="I27" s="101">
        <f t="shared" si="2"/>
        <v>-31327000</v>
      </c>
      <c r="J27" s="101">
        <f t="shared" si="1"/>
        <v>-100</v>
      </c>
    </row>
    <row r="28" spans="1:10" ht="20.100000000000001" hidden="1" customHeight="1">
      <c r="A28" s="118"/>
      <c r="B28" s="125" t="s">
        <v>920</v>
      </c>
      <c r="C28" s="103" t="s">
        <v>99</v>
      </c>
      <c r="D28" s="104">
        <f>D29</f>
        <v>1026060000</v>
      </c>
      <c r="E28" s="104">
        <v>1026060000</v>
      </c>
      <c r="F28" s="100">
        <f t="shared" si="0"/>
        <v>0</v>
      </c>
      <c r="G28" s="100">
        <f t="shared" si="0"/>
        <v>1026060000</v>
      </c>
      <c r="H28" s="101" t="e">
        <f t="shared" si="1"/>
        <v>#VALUE!</v>
      </c>
      <c r="I28" s="101">
        <f t="shared" si="2"/>
        <v>-1026060000</v>
      </c>
      <c r="J28" s="101">
        <f t="shared" si="1"/>
        <v>-100</v>
      </c>
    </row>
    <row r="29" spans="1:10" ht="20.100000000000001" hidden="1" customHeight="1">
      <c r="A29" s="118"/>
      <c r="B29" s="125" t="s">
        <v>921</v>
      </c>
      <c r="C29" s="103" t="s">
        <v>101</v>
      </c>
      <c r="D29" s="104">
        <v>1026060000</v>
      </c>
      <c r="E29" s="104">
        <v>1026060000</v>
      </c>
      <c r="F29" s="100">
        <f t="shared" si="0"/>
        <v>0</v>
      </c>
      <c r="G29" s="100">
        <f t="shared" si="0"/>
        <v>1026060000</v>
      </c>
      <c r="H29" s="101" t="e">
        <f t="shared" si="1"/>
        <v>#VALUE!</v>
      </c>
      <c r="I29" s="101">
        <f t="shared" si="2"/>
        <v>-1026060000</v>
      </c>
      <c r="J29" s="101">
        <f t="shared" si="1"/>
        <v>-100</v>
      </c>
    </row>
    <row r="30" spans="1:10" ht="20.100000000000001" hidden="1" customHeight="1">
      <c r="A30" s="118"/>
      <c r="B30" s="125" t="s">
        <v>922</v>
      </c>
      <c r="C30" s="103" t="s">
        <v>12</v>
      </c>
      <c r="D30" s="104">
        <f>D31</f>
        <v>1650000</v>
      </c>
      <c r="E30" s="104">
        <v>1650000</v>
      </c>
      <c r="F30" s="100">
        <f t="shared" si="0"/>
        <v>0</v>
      </c>
      <c r="G30" s="100">
        <f t="shared" si="0"/>
        <v>1650000</v>
      </c>
      <c r="H30" s="101" t="e">
        <f t="shared" si="1"/>
        <v>#VALUE!</v>
      </c>
      <c r="I30" s="101">
        <f t="shared" si="2"/>
        <v>-1650000</v>
      </c>
      <c r="J30" s="101">
        <f t="shared" si="1"/>
        <v>-100</v>
      </c>
    </row>
    <row r="31" spans="1:10" ht="20.100000000000001" hidden="1" customHeight="1">
      <c r="A31" s="118"/>
      <c r="B31" s="125" t="s">
        <v>923</v>
      </c>
      <c r="C31" s="103" t="s">
        <v>924</v>
      </c>
      <c r="D31" s="104">
        <v>1650000</v>
      </c>
      <c r="E31" s="104">
        <v>1650000</v>
      </c>
      <c r="F31" s="100">
        <f t="shared" si="0"/>
        <v>0</v>
      </c>
      <c r="G31" s="100">
        <f t="shared" si="0"/>
        <v>1650000</v>
      </c>
      <c r="H31" s="101" t="e">
        <f t="shared" si="1"/>
        <v>#VALUE!</v>
      </c>
      <c r="I31" s="101">
        <f t="shared" si="2"/>
        <v>-1650000</v>
      </c>
      <c r="J31" s="101">
        <f t="shared" si="1"/>
        <v>-100</v>
      </c>
    </row>
    <row r="32" spans="1:10" ht="20.100000000000001" customHeight="1">
      <c r="A32" s="118"/>
      <c r="B32" s="125"/>
      <c r="C32" s="103"/>
      <c r="D32" s="104"/>
      <c r="E32" s="104"/>
      <c r="F32" s="100"/>
      <c r="G32" s="100"/>
      <c r="H32" s="101"/>
      <c r="I32" s="101"/>
      <c r="J32" s="101"/>
    </row>
    <row r="33" spans="1:10" ht="20.100000000000001" customHeight="1">
      <c r="A33" s="118" t="s">
        <v>925</v>
      </c>
      <c r="B33" s="124" t="s">
        <v>926</v>
      </c>
      <c r="C33" s="98" t="s">
        <v>927</v>
      </c>
      <c r="D33" s="99">
        <f>D34+D86+D118+D135+D152+D211+D344+D468+D490+D514+D604+D643</f>
        <v>5321184000</v>
      </c>
      <c r="E33" s="99">
        <f>'rekap REALISASI REKO '!AB677</f>
        <v>5229995000</v>
      </c>
      <c r="F33" s="100">
        <f t="shared" si="0"/>
        <v>91189000</v>
      </c>
      <c r="G33" s="100">
        <f>'rekap REALISASI REKO '!AQ33</f>
        <v>4440396483</v>
      </c>
      <c r="H33" s="101">
        <f>G33/E33*100</f>
        <v>84.902499581739562</v>
      </c>
      <c r="I33" s="101">
        <f>E33-G33</f>
        <v>789598517</v>
      </c>
      <c r="J33" s="101">
        <f t="shared" si="1"/>
        <v>15.097500418260438</v>
      </c>
    </row>
    <row r="34" spans="1:10" ht="20.100000000000001" customHeight="1">
      <c r="A34" s="105" t="s">
        <v>138</v>
      </c>
      <c r="B34" s="106" t="s">
        <v>928</v>
      </c>
      <c r="C34" s="107" t="s">
        <v>140</v>
      </c>
      <c r="D34" s="108">
        <f>D35+D43+D52+D66+D75</f>
        <v>386568000</v>
      </c>
      <c r="E34" s="108">
        <f>E35+E43+E52+E66+E75</f>
        <v>403500000</v>
      </c>
      <c r="F34" s="109">
        <f t="shared" si="0"/>
        <v>-16932000</v>
      </c>
      <c r="G34" s="108">
        <f>G35+G43+G52+G66+G75</f>
        <v>329339893</v>
      </c>
      <c r="H34" s="110">
        <f>G34/E34*100</f>
        <v>81.620791325898395</v>
      </c>
      <c r="I34" s="108">
        <f>I35+I43+I52+I66+I75</f>
        <v>74160107</v>
      </c>
      <c r="J34" s="110">
        <f t="shared" si="1"/>
        <v>18.379208674101612</v>
      </c>
    </row>
    <row r="35" spans="1:10" ht="18.75" customHeight="1">
      <c r="A35" s="111">
        <v>1</v>
      </c>
      <c r="B35" s="193" t="s">
        <v>929</v>
      </c>
      <c r="C35" s="195" t="s">
        <v>0</v>
      </c>
      <c r="D35" s="197">
        <f>SUM(D37:D42)</f>
        <v>25387000</v>
      </c>
      <c r="E35" s="197">
        <f>'rekap REALISASI REKO '!AB35</f>
        <v>40000000</v>
      </c>
      <c r="F35" s="197">
        <f>D35-E35</f>
        <v>-14613000</v>
      </c>
      <c r="G35" s="216">
        <f>'rekap REALISASI REKO '!AQ35</f>
        <v>39979550</v>
      </c>
      <c r="H35" s="214">
        <f>G35/E35*100</f>
        <v>99.948875000000001</v>
      </c>
      <c r="I35" s="214">
        <f>E35-G35</f>
        <v>20450</v>
      </c>
      <c r="J35" s="214">
        <f>I35/E35*100</f>
        <v>5.1124999999999997E-2</v>
      </c>
    </row>
    <row r="36" spans="1:10" ht="19.5" hidden="1" customHeight="1">
      <c r="A36" s="112"/>
      <c r="B36" s="194"/>
      <c r="C36" s="196"/>
      <c r="D36" s="198"/>
      <c r="E36" s="198"/>
      <c r="F36" s="198"/>
      <c r="G36" s="217"/>
      <c r="H36" s="215"/>
      <c r="I36" s="215"/>
      <c r="J36" s="215"/>
    </row>
    <row r="37" spans="1:10" ht="20.100000000000001" hidden="1" customHeight="1">
      <c r="A37" s="97"/>
      <c r="B37" s="102" t="s">
        <v>930</v>
      </c>
      <c r="C37" s="103" t="s">
        <v>143</v>
      </c>
      <c r="D37" s="104"/>
      <c r="E37" s="104">
        <v>25387000</v>
      </c>
      <c r="F37" s="100">
        <f t="shared" si="0"/>
        <v>-25387000</v>
      </c>
      <c r="G37" s="100">
        <f t="shared" si="0"/>
        <v>50774000</v>
      </c>
      <c r="H37" s="101" t="e">
        <f t="shared" si="1"/>
        <v>#VALUE!</v>
      </c>
      <c r="I37" s="101">
        <f t="shared" ref="I37:I42" si="3">F37-G37</f>
        <v>-76161000</v>
      </c>
      <c r="J37" s="101">
        <f t="shared" si="1"/>
        <v>-300</v>
      </c>
    </row>
    <row r="38" spans="1:10" ht="20.100000000000001" hidden="1" customHeight="1">
      <c r="A38" s="97"/>
      <c r="B38" s="102" t="s">
        <v>931</v>
      </c>
      <c r="C38" s="103" t="s">
        <v>145</v>
      </c>
      <c r="D38" s="104"/>
      <c r="E38" s="104">
        <v>12578000</v>
      </c>
      <c r="F38" s="100">
        <f t="shared" si="0"/>
        <v>-12578000</v>
      </c>
      <c r="G38" s="100">
        <f t="shared" si="0"/>
        <v>25156000</v>
      </c>
      <c r="H38" s="101" t="e">
        <f t="shared" si="1"/>
        <v>#VALUE!</v>
      </c>
      <c r="I38" s="101">
        <f t="shared" si="3"/>
        <v>-37734000</v>
      </c>
      <c r="J38" s="101">
        <f t="shared" si="1"/>
        <v>-300</v>
      </c>
    </row>
    <row r="39" spans="1:10" ht="20.100000000000001" hidden="1" customHeight="1">
      <c r="A39" s="97"/>
      <c r="B39" s="102" t="s">
        <v>932</v>
      </c>
      <c r="C39" s="103" t="s">
        <v>147</v>
      </c>
      <c r="D39" s="104">
        <v>12578000</v>
      </c>
      <c r="E39" s="104">
        <v>12578000</v>
      </c>
      <c r="F39" s="100">
        <f t="shared" si="0"/>
        <v>0</v>
      </c>
      <c r="G39" s="100">
        <f t="shared" si="0"/>
        <v>12578000</v>
      </c>
      <c r="H39" s="101" t="e">
        <f t="shared" si="1"/>
        <v>#VALUE!</v>
      </c>
      <c r="I39" s="101">
        <f t="shared" si="3"/>
        <v>-12578000</v>
      </c>
      <c r="J39" s="101">
        <f t="shared" si="1"/>
        <v>-100</v>
      </c>
    </row>
    <row r="40" spans="1:10" ht="20.100000000000001" hidden="1" customHeight="1">
      <c r="A40" s="97"/>
      <c r="B40" s="102" t="s">
        <v>933</v>
      </c>
      <c r="C40" s="103" t="s">
        <v>151</v>
      </c>
      <c r="D40" s="104"/>
      <c r="E40" s="104">
        <v>12809000</v>
      </c>
      <c r="F40" s="100">
        <f t="shared" si="0"/>
        <v>-12809000</v>
      </c>
      <c r="G40" s="100">
        <f t="shared" si="0"/>
        <v>25618000</v>
      </c>
      <c r="H40" s="101" t="e">
        <f t="shared" si="1"/>
        <v>#VALUE!</v>
      </c>
      <c r="I40" s="101">
        <f t="shared" si="3"/>
        <v>-38427000</v>
      </c>
      <c r="J40" s="101">
        <f t="shared" si="1"/>
        <v>-300</v>
      </c>
    </row>
    <row r="41" spans="1:10" ht="20.100000000000001" hidden="1" customHeight="1">
      <c r="A41" s="97"/>
      <c r="B41" s="102" t="s">
        <v>934</v>
      </c>
      <c r="C41" s="103" t="s">
        <v>153</v>
      </c>
      <c r="D41" s="104">
        <v>4759000</v>
      </c>
      <c r="E41" s="104">
        <v>4759000</v>
      </c>
      <c r="F41" s="100">
        <f t="shared" si="0"/>
        <v>0</v>
      </c>
      <c r="G41" s="100">
        <f t="shared" si="0"/>
        <v>4759000</v>
      </c>
      <c r="H41" s="101" t="e">
        <f t="shared" si="1"/>
        <v>#VALUE!</v>
      </c>
      <c r="I41" s="101">
        <f t="shared" si="3"/>
        <v>-4759000</v>
      </c>
      <c r="J41" s="101">
        <f t="shared" si="1"/>
        <v>-100</v>
      </c>
    </row>
    <row r="42" spans="1:10" ht="20.100000000000001" hidden="1" customHeight="1">
      <c r="A42" s="97"/>
      <c r="B42" s="102" t="s">
        <v>935</v>
      </c>
      <c r="C42" s="103" t="s">
        <v>155</v>
      </c>
      <c r="D42" s="104">
        <v>8050000</v>
      </c>
      <c r="E42" s="104">
        <v>8050000</v>
      </c>
      <c r="F42" s="100">
        <f t="shared" si="0"/>
        <v>0</v>
      </c>
      <c r="G42" s="100">
        <f t="shared" si="0"/>
        <v>8050000</v>
      </c>
      <c r="H42" s="101" t="e">
        <f t="shared" si="1"/>
        <v>#VALUE!</v>
      </c>
      <c r="I42" s="101">
        <f t="shared" si="3"/>
        <v>-8050000</v>
      </c>
      <c r="J42" s="101">
        <f t="shared" si="1"/>
        <v>-100</v>
      </c>
    </row>
    <row r="43" spans="1:10" ht="20.100000000000001" customHeight="1">
      <c r="A43" s="111">
        <v>2</v>
      </c>
      <c r="B43" s="193" t="s">
        <v>936</v>
      </c>
      <c r="C43" s="195" t="s">
        <v>1</v>
      </c>
      <c r="D43" s="197">
        <f>SUM(D47:D51)</f>
        <v>110000000</v>
      </c>
      <c r="E43" s="197">
        <f>'rekap REALISASI REKO '!AB45</f>
        <v>97500000</v>
      </c>
      <c r="F43" s="197">
        <f>D43-E43</f>
        <v>12500000</v>
      </c>
      <c r="G43" s="216">
        <f>'rekap REALISASI REKO '!AQ45</f>
        <v>75145393</v>
      </c>
      <c r="H43" s="214">
        <f>G43/E43*100</f>
        <v>77.072197948717942</v>
      </c>
      <c r="I43" s="214">
        <f>E43-G43</f>
        <v>22354607</v>
      </c>
      <c r="J43" s="214">
        <f>I43/E43*100</f>
        <v>22.92780205128205</v>
      </c>
    </row>
    <row r="44" spans="1:10" ht="13.5" customHeight="1">
      <c r="A44" s="112"/>
      <c r="B44" s="194"/>
      <c r="C44" s="196"/>
      <c r="D44" s="198"/>
      <c r="E44" s="198"/>
      <c r="F44" s="198"/>
      <c r="G44" s="217"/>
      <c r="H44" s="215"/>
      <c r="I44" s="215"/>
      <c r="J44" s="215"/>
    </row>
    <row r="45" spans="1:10" ht="20.100000000000001" hidden="1" customHeight="1">
      <c r="A45" s="97"/>
      <c r="B45" s="102" t="s">
        <v>937</v>
      </c>
      <c r="C45" s="103" t="s">
        <v>143</v>
      </c>
      <c r="D45" s="104"/>
      <c r="E45" s="104">
        <v>110000000</v>
      </c>
      <c r="F45" s="100">
        <f t="shared" si="0"/>
        <v>-110000000</v>
      </c>
      <c r="G45" s="100">
        <f t="shared" si="0"/>
        <v>220000000</v>
      </c>
      <c r="H45" s="101" t="e">
        <f t="shared" si="1"/>
        <v>#VALUE!</v>
      </c>
      <c r="I45" s="101">
        <f t="shared" ref="I45:I51" si="4">F45-G45</f>
        <v>-330000000</v>
      </c>
      <c r="J45" s="101">
        <f t="shared" si="1"/>
        <v>-300</v>
      </c>
    </row>
    <row r="46" spans="1:10" ht="20.100000000000001" hidden="1" customHeight="1">
      <c r="A46" s="97"/>
      <c r="B46" s="102" t="s">
        <v>938</v>
      </c>
      <c r="C46" s="103" t="s">
        <v>163</v>
      </c>
      <c r="D46" s="104"/>
      <c r="E46" s="104">
        <v>110000000</v>
      </c>
      <c r="F46" s="100">
        <f t="shared" si="0"/>
        <v>-110000000</v>
      </c>
      <c r="G46" s="100">
        <f t="shared" si="0"/>
        <v>220000000</v>
      </c>
      <c r="H46" s="101" t="e">
        <f t="shared" si="1"/>
        <v>#VALUE!</v>
      </c>
      <c r="I46" s="101">
        <f t="shared" si="4"/>
        <v>-330000000</v>
      </c>
      <c r="J46" s="101">
        <f t="shared" si="1"/>
        <v>-300</v>
      </c>
    </row>
    <row r="47" spans="1:10" ht="20.100000000000001" hidden="1" customHeight="1">
      <c r="A47" s="97"/>
      <c r="B47" s="102" t="s">
        <v>939</v>
      </c>
      <c r="C47" s="103" t="s">
        <v>165</v>
      </c>
      <c r="D47" s="104">
        <v>14720000</v>
      </c>
      <c r="E47" s="104">
        <v>14720000</v>
      </c>
      <c r="F47" s="100">
        <f t="shared" si="0"/>
        <v>0</v>
      </c>
      <c r="G47" s="100">
        <f t="shared" si="0"/>
        <v>14720000</v>
      </c>
      <c r="H47" s="101" t="e">
        <f t="shared" si="1"/>
        <v>#VALUE!</v>
      </c>
      <c r="I47" s="101">
        <f t="shared" si="4"/>
        <v>-14720000</v>
      </c>
      <c r="J47" s="101">
        <f t="shared" si="1"/>
        <v>-100</v>
      </c>
    </row>
    <row r="48" spans="1:10" ht="20.100000000000001" hidden="1" customHeight="1">
      <c r="A48" s="97"/>
      <c r="B48" s="102" t="s">
        <v>940</v>
      </c>
      <c r="C48" s="103" t="s">
        <v>167</v>
      </c>
      <c r="D48" s="104">
        <v>10800000</v>
      </c>
      <c r="E48" s="104">
        <v>10800000</v>
      </c>
      <c r="F48" s="100">
        <f t="shared" si="0"/>
        <v>0</v>
      </c>
      <c r="G48" s="100">
        <f t="shared" si="0"/>
        <v>10800000</v>
      </c>
      <c r="H48" s="101" t="e">
        <f t="shared" si="1"/>
        <v>#VALUE!</v>
      </c>
      <c r="I48" s="101">
        <f t="shared" si="4"/>
        <v>-10800000</v>
      </c>
      <c r="J48" s="101">
        <f t="shared" si="1"/>
        <v>-100</v>
      </c>
    </row>
    <row r="49" spans="1:10" ht="20.100000000000001" hidden="1" customHeight="1">
      <c r="A49" s="97"/>
      <c r="B49" s="102" t="s">
        <v>941</v>
      </c>
      <c r="C49" s="103" t="s">
        <v>169</v>
      </c>
      <c r="D49" s="104">
        <v>58800000</v>
      </c>
      <c r="E49" s="104">
        <v>58800000</v>
      </c>
      <c r="F49" s="100">
        <f t="shared" si="0"/>
        <v>0</v>
      </c>
      <c r="G49" s="100">
        <f t="shared" si="0"/>
        <v>58800000</v>
      </c>
      <c r="H49" s="101" t="e">
        <f t="shared" si="1"/>
        <v>#VALUE!</v>
      </c>
      <c r="I49" s="101">
        <f t="shared" si="4"/>
        <v>-58800000</v>
      </c>
      <c r="J49" s="101">
        <f t="shared" si="1"/>
        <v>-100</v>
      </c>
    </row>
    <row r="50" spans="1:10" ht="20.100000000000001" hidden="1" customHeight="1">
      <c r="A50" s="97"/>
      <c r="B50" s="102" t="s">
        <v>942</v>
      </c>
      <c r="C50" s="103" t="s">
        <v>171</v>
      </c>
      <c r="D50" s="104">
        <v>2880000</v>
      </c>
      <c r="E50" s="104">
        <v>2880000</v>
      </c>
      <c r="F50" s="100">
        <f t="shared" si="0"/>
        <v>0</v>
      </c>
      <c r="G50" s="100">
        <f t="shared" si="0"/>
        <v>2880000</v>
      </c>
      <c r="H50" s="101" t="e">
        <f t="shared" si="1"/>
        <v>#VALUE!</v>
      </c>
      <c r="I50" s="101">
        <f t="shared" si="4"/>
        <v>-2880000</v>
      </c>
      <c r="J50" s="101">
        <f t="shared" si="1"/>
        <v>-100</v>
      </c>
    </row>
    <row r="51" spans="1:10" ht="20.100000000000001" hidden="1" customHeight="1">
      <c r="A51" s="97"/>
      <c r="B51" s="102" t="s">
        <v>943</v>
      </c>
      <c r="C51" s="103" t="s">
        <v>173</v>
      </c>
      <c r="D51" s="104">
        <v>22800000</v>
      </c>
      <c r="E51" s="104">
        <v>22800000</v>
      </c>
      <c r="F51" s="100">
        <f t="shared" si="0"/>
        <v>0</v>
      </c>
      <c r="G51" s="100">
        <f t="shared" si="0"/>
        <v>22800000</v>
      </c>
      <c r="H51" s="101" t="e">
        <f t="shared" si="1"/>
        <v>#VALUE!</v>
      </c>
      <c r="I51" s="101">
        <f t="shared" si="4"/>
        <v>-22800000</v>
      </c>
      <c r="J51" s="101">
        <f t="shared" si="1"/>
        <v>-100</v>
      </c>
    </row>
    <row r="52" spans="1:10" ht="20.100000000000001" customHeight="1">
      <c r="A52" s="111">
        <v>3</v>
      </c>
      <c r="B52" s="193" t="s">
        <v>944</v>
      </c>
      <c r="C52" s="195" t="s">
        <v>2</v>
      </c>
      <c r="D52" s="197">
        <f>SUM(D55:D65)</f>
        <v>64481000</v>
      </c>
      <c r="E52" s="197">
        <f>'rekap REALISASI REKO '!AB53</f>
        <v>70000000</v>
      </c>
      <c r="F52" s="197">
        <f>D52-E52</f>
        <v>-5519000</v>
      </c>
      <c r="G52" s="216">
        <f>'rekap REALISASI REKO '!AQ53</f>
        <v>63961125</v>
      </c>
      <c r="H52" s="214">
        <f>G52/E52*100</f>
        <v>91.373035714285706</v>
      </c>
      <c r="I52" s="214">
        <f>E52-G52</f>
        <v>6038875</v>
      </c>
      <c r="J52" s="214">
        <f>I52/E52*100</f>
        <v>8.6269642857142852</v>
      </c>
    </row>
    <row r="53" spans="1:10" ht="3.75" customHeight="1">
      <c r="A53" s="112"/>
      <c r="B53" s="194"/>
      <c r="C53" s="196"/>
      <c r="D53" s="198"/>
      <c r="E53" s="198"/>
      <c r="F53" s="198"/>
      <c r="G53" s="217"/>
      <c r="H53" s="215"/>
      <c r="I53" s="215"/>
      <c r="J53" s="215"/>
    </row>
    <row r="54" spans="1:10" ht="20.100000000000001" hidden="1" customHeight="1">
      <c r="A54" s="97"/>
      <c r="B54" s="102" t="s">
        <v>945</v>
      </c>
      <c r="C54" s="103" t="s">
        <v>10</v>
      </c>
      <c r="D54" s="104"/>
      <c r="E54" s="104">
        <v>35820000</v>
      </c>
      <c r="F54" s="100">
        <f t="shared" si="0"/>
        <v>-35820000</v>
      </c>
      <c r="G54" s="100">
        <f t="shared" si="0"/>
        <v>71640000</v>
      </c>
      <c r="H54" s="101" t="e">
        <f t="shared" si="1"/>
        <v>#VALUE!</v>
      </c>
      <c r="I54" s="101">
        <f t="shared" ref="I54:I65" si="5">F54-G54</f>
        <v>-107460000</v>
      </c>
      <c r="J54" s="101">
        <f t="shared" si="1"/>
        <v>-300</v>
      </c>
    </row>
    <row r="55" spans="1:10" ht="20.100000000000001" hidden="1" customHeight="1">
      <c r="A55" s="97"/>
      <c r="B55" s="102" t="s">
        <v>946</v>
      </c>
      <c r="C55" s="103" t="s">
        <v>177</v>
      </c>
      <c r="D55" s="104"/>
      <c r="E55" s="104">
        <v>31200000</v>
      </c>
      <c r="F55" s="100">
        <f t="shared" si="0"/>
        <v>-31200000</v>
      </c>
      <c r="G55" s="100">
        <f t="shared" si="0"/>
        <v>62400000</v>
      </c>
      <c r="H55" s="101" t="e">
        <f t="shared" si="1"/>
        <v>#VALUE!</v>
      </c>
      <c r="I55" s="101">
        <f t="shared" si="5"/>
        <v>-93600000</v>
      </c>
      <c r="J55" s="101">
        <f t="shared" si="1"/>
        <v>-300</v>
      </c>
    </row>
    <row r="56" spans="1:10" ht="20.100000000000001" hidden="1" customHeight="1">
      <c r="A56" s="97"/>
      <c r="B56" s="102" t="s">
        <v>947</v>
      </c>
      <c r="C56" s="103" t="s">
        <v>179</v>
      </c>
      <c r="D56" s="104">
        <v>31200000</v>
      </c>
      <c r="E56" s="104">
        <v>31200000</v>
      </c>
      <c r="F56" s="100">
        <f t="shared" si="0"/>
        <v>0</v>
      </c>
      <c r="G56" s="100">
        <f t="shared" si="0"/>
        <v>31200000</v>
      </c>
      <c r="H56" s="101" t="e">
        <f t="shared" si="1"/>
        <v>#VALUE!</v>
      </c>
      <c r="I56" s="101">
        <f t="shared" si="5"/>
        <v>-31200000</v>
      </c>
      <c r="J56" s="101">
        <f t="shared" si="1"/>
        <v>-100</v>
      </c>
    </row>
    <row r="57" spans="1:10" ht="20.100000000000001" hidden="1" customHeight="1">
      <c r="A57" s="97"/>
      <c r="B57" s="102" t="s">
        <v>948</v>
      </c>
      <c r="C57" s="103" t="s">
        <v>181</v>
      </c>
      <c r="D57" s="104"/>
      <c r="E57" s="104">
        <v>4620000</v>
      </c>
      <c r="F57" s="100">
        <f t="shared" si="0"/>
        <v>-4620000</v>
      </c>
      <c r="G57" s="100">
        <f t="shared" si="0"/>
        <v>9240000</v>
      </c>
      <c r="H57" s="101" t="e">
        <f t="shared" si="1"/>
        <v>#VALUE!</v>
      </c>
      <c r="I57" s="101">
        <f t="shared" si="5"/>
        <v>-13860000</v>
      </c>
      <c r="J57" s="101">
        <f t="shared" si="1"/>
        <v>-300</v>
      </c>
    </row>
    <row r="58" spans="1:10" ht="20.100000000000001" hidden="1" customHeight="1">
      <c r="A58" s="97"/>
      <c r="B58" s="102" t="s">
        <v>949</v>
      </c>
      <c r="C58" s="103" t="s">
        <v>183</v>
      </c>
      <c r="D58" s="104">
        <v>4620000</v>
      </c>
      <c r="E58" s="104">
        <v>4620000</v>
      </c>
      <c r="F58" s="100">
        <f t="shared" si="0"/>
        <v>0</v>
      </c>
      <c r="G58" s="100">
        <f t="shared" si="0"/>
        <v>4620000</v>
      </c>
      <c r="H58" s="101" t="e">
        <f t="shared" si="1"/>
        <v>#VALUE!</v>
      </c>
      <c r="I58" s="101">
        <f t="shared" si="5"/>
        <v>-4620000</v>
      </c>
      <c r="J58" s="101">
        <f t="shared" si="1"/>
        <v>-100</v>
      </c>
    </row>
    <row r="59" spans="1:10" ht="20.100000000000001" hidden="1" customHeight="1">
      <c r="A59" s="97"/>
      <c r="B59" s="102" t="s">
        <v>950</v>
      </c>
      <c r="C59" s="103" t="s">
        <v>143</v>
      </c>
      <c r="D59" s="104"/>
      <c r="E59" s="104">
        <v>28661000</v>
      </c>
      <c r="F59" s="100">
        <f t="shared" si="0"/>
        <v>-28661000</v>
      </c>
      <c r="G59" s="100">
        <f t="shared" si="0"/>
        <v>57322000</v>
      </c>
      <c r="H59" s="101" t="e">
        <f t="shared" si="1"/>
        <v>#VALUE!</v>
      </c>
      <c r="I59" s="101">
        <f t="shared" si="5"/>
        <v>-85983000</v>
      </c>
      <c r="J59" s="101">
        <f t="shared" si="1"/>
        <v>-300</v>
      </c>
    </row>
    <row r="60" spans="1:10" ht="20.100000000000001" hidden="1" customHeight="1">
      <c r="A60" s="97"/>
      <c r="B60" s="102" t="s">
        <v>951</v>
      </c>
      <c r="C60" s="103" t="s">
        <v>145</v>
      </c>
      <c r="D60" s="104"/>
      <c r="E60" s="104">
        <v>7192000</v>
      </c>
      <c r="F60" s="100">
        <f t="shared" si="0"/>
        <v>-7192000</v>
      </c>
      <c r="G60" s="100">
        <f t="shared" si="0"/>
        <v>14384000</v>
      </c>
      <c r="H60" s="101" t="e">
        <f t="shared" si="1"/>
        <v>#VALUE!</v>
      </c>
      <c r="I60" s="101">
        <f t="shared" si="5"/>
        <v>-21576000</v>
      </c>
      <c r="J60" s="101">
        <f t="shared" si="1"/>
        <v>-300</v>
      </c>
    </row>
    <row r="61" spans="1:10" ht="20.100000000000001" hidden="1" customHeight="1">
      <c r="A61" s="97"/>
      <c r="B61" s="102" t="s">
        <v>952</v>
      </c>
      <c r="C61" s="103" t="s">
        <v>147</v>
      </c>
      <c r="D61" s="104">
        <v>7192000</v>
      </c>
      <c r="E61" s="104">
        <v>7192000</v>
      </c>
      <c r="F61" s="100">
        <f t="shared" si="0"/>
        <v>0</v>
      </c>
      <c r="G61" s="100">
        <f t="shared" si="0"/>
        <v>7192000</v>
      </c>
      <c r="H61" s="101" t="e">
        <f t="shared" si="1"/>
        <v>#VALUE!</v>
      </c>
      <c r="I61" s="101">
        <f t="shared" si="5"/>
        <v>-7192000</v>
      </c>
      <c r="J61" s="101">
        <f t="shared" si="1"/>
        <v>-100</v>
      </c>
    </row>
    <row r="62" spans="1:10" ht="20.100000000000001" hidden="1" customHeight="1">
      <c r="A62" s="97"/>
      <c r="B62" s="102" t="s">
        <v>953</v>
      </c>
      <c r="C62" s="103" t="s">
        <v>151</v>
      </c>
      <c r="D62" s="104"/>
      <c r="E62" s="104">
        <v>12549000</v>
      </c>
      <c r="F62" s="100">
        <f t="shared" si="0"/>
        <v>-12549000</v>
      </c>
      <c r="G62" s="100">
        <f t="shared" si="0"/>
        <v>25098000</v>
      </c>
      <c r="H62" s="101" t="e">
        <f t="shared" si="1"/>
        <v>#VALUE!</v>
      </c>
      <c r="I62" s="101">
        <f t="shared" si="5"/>
        <v>-37647000</v>
      </c>
      <c r="J62" s="101">
        <f t="shared" si="1"/>
        <v>-300</v>
      </c>
    </row>
    <row r="63" spans="1:10" ht="20.100000000000001" hidden="1" customHeight="1">
      <c r="A63" s="97"/>
      <c r="B63" s="102" t="s">
        <v>954</v>
      </c>
      <c r="C63" s="103" t="s">
        <v>155</v>
      </c>
      <c r="D63" s="104">
        <v>12549000</v>
      </c>
      <c r="E63" s="104">
        <v>12549000</v>
      </c>
      <c r="F63" s="100">
        <f t="shared" si="0"/>
        <v>0</v>
      </c>
      <c r="G63" s="100">
        <f t="shared" si="0"/>
        <v>12549000</v>
      </c>
      <c r="H63" s="101" t="e">
        <f t="shared" si="1"/>
        <v>#VALUE!</v>
      </c>
      <c r="I63" s="101">
        <f t="shared" si="5"/>
        <v>-12549000</v>
      </c>
      <c r="J63" s="101">
        <f t="shared" si="1"/>
        <v>-100</v>
      </c>
    </row>
    <row r="64" spans="1:10" ht="20.100000000000001" hidden="1" customHeight="1">
      <c r="A64" s="97"/>
      <c r="B64" s="102" t="s">
        <v>955</v>
      </c>
      <c r="C64" s="103" t="s">
        <v>157</v>
      </c>
      <c r="D64" s="104"/>
      <c r="E64" s="104">
        <v>8920000</v>
      </c>
      <c r="F64" s="100">
        <f t="shared" si="0"/>
        <v>-8920000</v>
      </c>
      <c r="G64" s="100">
        <f t="shared" si="0"/>
        <v>17840000</v>
      </c>
      <c r="H64" s="101" t="e">
        <f t="shared" si="1"/>
        <v>#VALUE!</v>
      </c>
      <c r="I64" s="101">
        <f t="shared" si="5"/>
        <v>-26760000</v>
      </c>
      <c r="J64" s="101">
        <f t="shared" si="1"/>
        <v>-300</v>
      </c>
    </row>
    <row r="65" spans="1:10" ht="20.100000000000001" hidden="1" customHeight="1">
      <c r="A65" s="97"/>
      <c r="B65" s="102" t="s">
        <v>956</v>
      </c>
      <c r="C65" s="103" t="s">
        <v>159</v>
      </c>
      <c r="D65" s="104">
        <v>8920000</v>
      </c>
      <c r="E65" s="104">
        <v>8920000</v>
      </c>
      <c r="F65" s="100">
        <f t="shared" si="0"/>
        <v>0</v>
      </c>
      <c r="G65" s="100">
        <f t="shared" si="0"/>
        <v>8920000</v>
      </c>
      <c r="H65" s="101" t="e">
        <f t="shared" si="1"/>
        <v>#VALUE!</v>
      </c>
      <c r="I65" s="101">
        <f t="shared" si="5"/>
        <v>-8920000</v>
      </c>
      <c r="J65" s="101">
        <f t="shared" si="1"/>
        <v>-100</v>
      </c>
    </row>
    <row r="66" spans="1:10" ht="20.100000000000001" customHeight="1">
      <c r="A66" s="111">
        <v>4</v>
      </c>
      <c r="B66" s="193" t="s">
        <v>957</v>
      </c>
      <c r="C66" s="195" t="s">
        <v>199</v>
      </c>
      <c r="D66" s="197">
        <f>SUM(D68:D74)</f>
        <v>117257000</v>
      </c>
      <c r="E66" s="197">
        <f>'rekap REALISASI REKO '!AB69</f>
        <v>120000000</v>
      </c>
      <c r="F66" s="197">
        <f>D66-E66</f>
        <v>-2743000</v>
      </c>
      <c r="G66" s="216">
        <f>'rekap REALISASI REKO '!AQ69</f>
        <v>96509725</v>
      </c>
      <c r="H66" s="214">
        <f>G66/E66*100</f>
        <v>80.424770833333341</v>
      </c>
      <c r="I66" s="214">
        <f>E66-G66</f>
        <v>23490275</v>
      </c>
      <c r="J66" s="214">
        <f>I66/E66*100</f>
        <v>19.575229166666666</v>
      </c>
    </row>
    <row r="67" spans="1:10" ht="9.75" customHeight="1">
      <c r="A67" s="112"/>
      <c r="B67" s="194"/>
      <c r="C67" s="196"/>
      <c r="D67" s="198"/>
      <c r="E67" s="198"/>
      <c r="F67" s="198"/>
      <c r="G67" s="217"/>
      <c r="H67" s="215"/>
      <c r="I67" s="215"/>
      <c r="J67" s="215"/>
    </row>
    <row r="68" spans="1:10" ht="20.100000000000001" hidden="1" customHeight="1">
      <c r="A68" s="97"/>
      <c r="B68" s="102" t="s">
        <v>958</v>
      </c>
      <c r="C68" s="103" t="s">
        <v>143</v>
      </c>
      <c r="D68" s="104"/>
      <c r="E68" s="104">
        <v>117257000</v>
      </c>
      <c r="F68" s="100">
        <f t="shared" si="0"/>
        <v>-117257000</v>
      </c>
      <c r="G68" s="100">
        <f t="shared" si="0"/>
        <v>234514000</v>
      </c>
      <c r="H68" s="101" t="e">
        <f t="shared" si="1"/>
        <v>#VALUE!</v>
      </c>
      <c r="I68" s="101">
        <f t="shared" ref="I68:I74" si="6">F68-G68</f>
        <v>-351771000</v>
      </c>
      <c r="J68" s="101">
        <f t="shared" si="1"/>
        <v>-300</v>
      </c>
    </row>
    <row r="69" spans="1:10" ht="20.100000000000001" hidden="1" customHeight="1">
      <c r="A69" s="97"/>
      <c r="B69" s="102" t="s">
        <v>959</v>
      </c>
      <c r="C69" s="103" t="s">
        <v>145</v>
      </c>
      <c r="D69" s="104"/>
      <c r="E69" s="104">
        <v>539000</v>
      </c>
      <c r="F69" s="100">
        <f t="shared" si="0"/>
        <v>-539000</v>
      </c>
      <c r="G69" s="100">
        <f t="shared" si="0"/>
        <v>1078000</v>
      </c>
      <c r="H69" s="101" t="e">
        <f t="shared" si="1"/>
        <v>#VALUE!</v>
      </c>
      <c r="I69" s="101">
        <f t="shared" si="6"/>
        <v>-1617000</v>
      </c>
      <c r="J69" s="101">
        <f t="shared" si="1"/>
        <v>-300</v>
      </c>
    </row>
    <row r="70" spans="1:10" ht="20.100000000000001" hidden="1" customHeight="1">
      <c r="A70" s="97"/>
      <c r="B70" s="102" t="s">
        <v>960</v>
      </c>
      <c r="C70" s="103" t="s">
        <v>147</v>
      </c>
      <c r="D70" s="104">
        <v>539000</v>
      </c>
      <c r="E70" s="104">
        <v>539000</v>
      </c>
      <c r="F70" s="100">
        <f t="shared" si="0"/>
        <v>0</v>
      </c>
      <c r="G70" s="100">
        <f t="shared" si="0"/>
        <v>539000</v>
      </c>
      <c r="H70" s="101" t="e">
        <f t="shared" si="1"/>
        <v>#VALUE!</v>
      </c>
      <c r="I70" s="101">
        <f t="shared" si="6"/>
        <v>-539000</v>
      </c>
      <c r="J70" s="101">
        <f t="shared" si="1"/>
        <v>-100</v>
      </c>
    </row>
    <row r="71" spans="1:10" ht="20.100000000000001" hidden="1" customHeight="1">
      <c r="A71" s="97"/>
      <c r="B71" s="102" t="s">
        <v>961</v>
      </c>
      <c r="C71" s="103" t="s">
        <v>151</v>
      </c>
      <c r="D71" s="104"/>
      <c r="E71" s="104">
        <v>1068000</v>
      </c>
      <c r="F71" s="100">
        <f t="shared" si="0"/>
        <v>-1068000</v>
      </c>
      <c r="G71" s="100">
        <f t="shared" si="0"/>
        <v>2136000</v>
      </c>
      <c r="H71" s="101" t="e">
        <f t="shared" si="1"/>
        <v>#VALUE!</v>
      </c>
      <c r="I71" s="101">
        <f t="shared" si="6"/>
        <v>-3204000</v>
      </c>
      <c r="J71" s="101">
        <f t="shared" si="1"/>
        <v>-300</v>
      </c>
    </row>
    <row r="72" spans="1:10" ht="20.100000000000001" hidden="1" customHeight="1">
      <c r="A72" s="97"/>
      <c r="B72" s="102" t="s">
        <v>962</v>
      </c>
      <c r="C72" s="103" t="s">
        <v>155</v>
      </c>
      <c r="D72" s="104">
        <v>1068000</v>
      </c>
      <c r="E72" s="104">
        <v>1068000</v>
      </c>
      <c r="F72" s="100">
        <f t="shared" si="0"/>
        <v>0</v>
      </c>
      <c r="G72" s="100">
        <f t="shared" si="0"/>
        <v>1068000</v>
      </c>
      <c r="H72" s="101" t="e">
        <f t="shared" si="1"/>
        <v>#VALUE!</v>
      </c>
      <c r="I72" s="101">
        <f t="shared" si="6"/>
        <v>-1068000</v>
      </c>
      <c r="J72" s="101">
        <f t="shared" si="1"/>
        <v>-100</v>
      </c>
    </row>
    <row r="73" spans="1:10" ht="20.100000000000001" hidden="1" customHeight="1">
      <c r="A73" s="97"/>
      <c r="B73" s="102" t="s">
        <v>963</v>
      </c>
      <c r="C73" s="103" t="s">
        <v>157</v>
      </c>
      <c r="D73" s="104"/>
      <c r="E73" s="104">
        <v>115650000</v>
      </c>
      <c r="F73" s="100">
        <f t="shared" si="0"/>
        <v>-115650000</v>
      </c>
      <c r="G73" s="100">
        <f t="shared" si="0"/>
        <v>231300000</v>
      </c>
      <c r="H73" s="101" t="e">
        <f t="shared" si="1"/>
        <v>#VALUE!</v>
      </c>
      <c r="I73" s="101">
        <f t="shared" si="6"/>
        <v>-346950000</v>
      </c>
      <c r="J73" s="101">
        <f t="shared" si="1"/>
        <v>-300</v>
      </c>
    </row>
    <row r="74" spans="1:10" ht="20.100000000000001" hidden="1" customHeight="1">
      <c r="A74" s="97"/>
      <c r="B74" s="102" t="s">
        <v>964</v>
      </c>
      <c r="C74" s="103" t="s">
        <v>207</v>
      </c>
      <c r="D74" s="104">
        <v>115650000</v>
      </c>
      <c r="E74" s="104">
        <v>115650000</v>
      </c>
      <c r="F74" s="100">
        <f t="shared" si="0"/>
        <v>0</v>
      </c>
      <c r="G74" s="100">
        <f t="shared" si="0"/>
        <v>115650000</v>
      </c>
      <c r="H74" s="101" t="e">
        <f t="shared" ref="H74:J135" si="7">G74/C74*100</f>
        <v>#VALUE!</v>
      </c>
      <c r="I74" s="101">
        <f t="shared" si="6"/>
        <v>-115650000</v>
      </c>
      <c r="J74" s="101">
        <f t="shared" si="7"/>
        <v>-100</v>
      </c>
    </row>
    <row r="75" spans="1:10" ht="20.100000000000001" customHeight="1">
      <c r="A75" s="111">
        <v>5</v>
      </c>
      <c r="B75" s="193" t="s">
        <v>965</v>
      </c>
      <c r="C75" s="195" t="s">
        <v>209</v>
      </c>
      <c r="D75" s="197">
        <f>SUM(D77:D85)</f>
        <v>69443000</v>
      </c>
      <c r="E75" s="197">
        <f>'rekap REALISASI REKO '!AB77</f>
        <v>76000000</v>
      </c>
      <c r="F75" s="197">
        <f>D75-E75</f>
        <v>-6557000</v>
      </c>
      <c r="G75" s="216">
        <f>'rekap REALISASI REKO '!AQ77</f>
        <v>53744100</v>
      </c>
      <c r="H75" s="214">
        <f>G75/E75*100</f>
        <v>70.715921052631586</v>
      </c>
      <c r="I75" s="214">
        <f>E75-G75</f>
        <v>22255900</v>
      </c>
      <c r="J75" s="214">
        <f>I75/E75*100</f>
        <v>29.284078947368421</v>
      </c>
    </row>
    <row r="76" spans="1:10" ht="9" customHeight="1">
      <c r="A76" s="112"/>
      <c r="B76" s="194"/>
      <c r="C76" s="196"/>
      <c r="D76" s="198"/>
      <c r="E76" s="198"/>
      <c r="F76" s="198"/>
      <c r="G76" s="217"/>
      <c r="H76" s="215"/>
      <c r="I76" s="215"/>
      <c r="J76" s="215"/>
    </row>
    <row r="77" spans="1:10" ht="20.100000000000001" hidden="1" customHeight="1">
      <c r="A77" s="97"/>
      <c r="B77" s="102" t="s">
        <v>966</v>
      </c>
      <c r="C77" s="103" t="s">
        <v>143</v>
      </c>
      <c r="D77" s="104"/>
      <c r="E77" s="104">
        <v>69443000</v>
      </c>
      <c r="F77" s="100">
        <f t="shared" ref="F77:G138" si="8">D77-E77</f>
        <v>-69443000</v>
      </c>
      <c r="G77" s="100">
        <f t="shared" si="8"/>
        <v>138886000</v>
      </c>
      <c r="H77" s="101" t="e">
        <f t="shared" si="7"/>
        <v>#VALUE!</v>
      </c>
      <c r="I77" s="101">
        <f t="shared" ref="I77:I85" si="9">F77-G77</f>
        <v>-208329000</v>
      </c>
      <c r="J77" s="101">
        <f t="shared" si="7"/>
        <v>-300</v>
      </c>
    </row>
    <row r="78" spans="1:10" ht="20.100000000000001" hidden="1" customHeight="1">
      <c r="A78" s="97"/>
      <c r="B78" s="102" t="s">
        <v>967</v>
      </c>
      <c r="C78" s="103" t="s">
        <v>145</v>
      </c>
      <c r="D78" s="104"/>
      <c r="E78" s="104">
        <v>2117000</v>
      </c>
      <c r="F78" s="100">
        <f t="shared" si="8"/>
        <v>-2117000</v>
      </c>
      <c r="G78" s="100">
        <f t="shared" si="8"/>
        <v>4234000</v>
      </c>
      <c r="H78" s="101" t="e">
        <f t="shared" si="7"/>
        <v>#VALUE!</v>
      </c>
      <c r="I78" s="101">
        <f t="shared" si="9"/>
        <v>-6351000</v>
      </c>
      <c r="J78" s="101">
        <f t="shared" si="7"/>
        <v>-300</v>
      </c>
    </row>
    <row r="79" spans="1:10" ht="20.100000000000001" hidden="1" customHeight="1">
      <c r="A79" s="97"/>
      <c r="B79" s="102" t="s">
        <v>968</v>
      </c>
      <c r="C79" s="103" t="s">
        <v>147</v>
      </c>
      <c r="D79" s="104">
        <v>2117000</v>
      </c>
      <c r="E79" s="104">
        <v>2117000</v>
      </c>
      <c r="F79" s="100">
        <f t="shared" si="8"/>
        <v>0</v>
      </c>
      <c r="G79" s="100">
        <f t="shared" si="8"/>
        <v>2117000</v>
      </c>
      <c r="H79" s="101" t="e">
        <f t="shared" si="7"/>
        <v>#VALUE!</v>
      </c>
      <c r="I79" s="101">
        <f t="shared" si="9"/>
        <v>-2117000</v>
      </c>
      <c r="J79" s="101">
        <f t="shared" si="7"/>
        <v>-100</v>
      </c>
    </row>
    <row r="80" spans="1:10" ht="20.100000000000001" hidden="1" customHeight="1">
      <c r="A80" s="97"/>
      <c r="B80" s="102" t="s">
        <v>969</v>
      </c>
      <c r="C80" s="103" t="s">
        <v>151</v>
      </c>
      <c r="D80" s="104"/>
      <c r="E80" s="104">
        <v>2366000</v>
      </c>
      <c r="F80" s="100">
        <f t="shared" si="8"/>
        <v>-2366000</v>
      </c>
      <c r="G80" s="100">
        <f t="shared" si="8"/>
        <v>4732000</v>
      </c>
      <c r="H80" s="101" t="e">
        <f t="shared" si="7"/>
        <v>#VALUE!</v>
      </c>
      <c r="I80" s="101">
        <f t="shared" si="9"/>
        <v>-7098000</v>
      </c>
      <c r="J80" s="101">
        <f t="shared" si="7"/>
        <v>-300</v>
      </c>
    </row>
    <row r="81" spans="1:10" ht="20.100000000000001" hidden="1" customHeight="1">
      <c r="A81" s="97"/>
      <c r="B81" s="102" t="s">
        <v>970</v>
      </c>
      <c r="C81" s="103" t="s">
        <v>155</v>
      </c>
      <c r="D81" s="104">
        <v>2366000</v>
      </c>
      <c r="E81" s="104">
        <v>2366000</v>
      </c>
      <c r="F81" s="100">
        <f t="shared" si="8"/>
        <v>0</v>
      </c>
      <c r="G81" s="100">
        <f t="shared" si="8"/>
        <v>2366000</v>
      </c>
      <c r="H81" s="101" t="e">
        <f t="shared" si="7"/>
        <v>#VALUE!</v>
      </c>
      <c r="I81" s="101">
        <f t="shared" si="9"/>
        <v>-2366000</v>
      </c>
      <c r="J81" s="101">
        <f t="shared" si="7"/>
        <v>-100</v>
      </c>
    </row>
    <row r="82" spans="1:10" ht="20.100000000000001" hidden="1" customHeight="1">
      <c r="A82" s="97"/>
      <c r="B82" s="102" t="s">
        <v>971</v>
      </c>
      <c r="C82" s="103" t="s">
        <v>193</v>
      </c>
      <c r="D82" s="104"/>
      <c r="E82" s="104">
        <v>24750000</v>
      </c>
      <c r="F82" s="100">
        <f t="shared" si="8"/>
        <v>-24750000</v>
      </c>
      <c r="G82" s="100">
        <f t="shared" si="8"/>
        <v>49500000</v>
      </c>
      <c r="H82" s="101" t="e">
        <f t="shared" si="7"/>
        <v>#VALUE!</v>
      </c>
      <c r="I82" s="101">
        <f t="shared" si="9"/>
        <v>-74250000</v>
      </c>
      <c r="J82" s="101">
        <f t="shared" si="7"/>
        <v>-300</v>
      </c>
    </row>
    <row r="83" spans="1:10" ht="20.100000000000001" hidden="1" customHeight="1">
      <c r="A83" s="97"/>
      <c r="B83" s="102" t="s">
        <v>972</v>
      </c>
      <c r="C83" s="103" t="s">
        <v>195</v>
      </c>
      <c r="D83" s="104">
        <v>24750000</v>
      </c>
      <c r="E83" s="104">
        <v>24750000</v>
      </c>
      <c r="F83" s="100">
        <f t="shared" si="8"/>
        <v>0</v>
      </c>
      <c r="G83" s="100">
        <f t="shared" si="8"/>
        <v>24750000</v>
      </c>
      <c r="H83" s="101" t="e">
        <f t="shared" si="7"/>
        <v>#VALUE!</v>
      </c>
      <c r="I83" s="101">
        <f t="shared" si="9"/>
        <v>-24750000</v>
      </c>
      <c r="J83" s="101">
        <f t="shared" si="7"/>
        <v>-100</v>
      </c>
    </row>
    <row r="84" spans="1:10" ht="20.100000000000001" hidden="1" customHeight="1">
      <c r="A84" s="97"/>
      <c r="B84" s="102" t="s">
        <v>973</v>
      </c>
      <c r="C84" s="103" t="s">
        <v>157</v>
      </c>
      <c r="D84" s="104"/>
      <c r="E84" s="104">
        <v>40210000</v>
      </c>
      <c r="F84" s="100">
        <f t="shared" si="8"/>
        <v>-40210000</v>
      </c>
      <c r="G84" s="100">
        <f t="shared" si="8"/>
        <v>80420000</v>
      </c>
      <c r="H84" s="101" t="e">
        <f t="shared" si="7"/>
        <v>#VALUE!</v>
      </c>
      <c r="I84" s="101">
        <f t="shared" si="9"/>
        <v>-120630000</v>
      </c>
      <c r="J84" s="101">
        <f t="shared" si="7"/>
        <v>-300</v>
      </c>
    </row>
    <row r="85" spans="1:10" ht="20.100000000000001" hidden="1" customHeight="1">
      <c r="A85" s="97"/>
      <c r="B85" s="102" t="s">
        <v>974</v>
      </c>
      <c r="C85" s="103" t="s">
        <v>159</v>
      </c>
      <c r="D85" s="104">
        <v>40210000</v>
      </c>
      <c r="E85" s="104">
        <v>40210000</v>
      </c>
      <c r="F85" s="100">
        <f t="shared" si="8"/>
        <v>0</v>
      </c>
      <c r="G85" s="100">
        <f t="shared" si="8"/>
        <v>40210000</v>
      </c>
      <c r="H85" s="101" t="e">
        <f t="shared" si="7"/>
        <v>#VALUE!</v>
      </c>
      <c r="I85" s="101">
        <f t="shared" si="9"/>
        <v>-40210000</v>
      </c>
      <c r="J85" s="101">
        <f t="shared" si="7"/>
        <v>-100</v>
      </c>
    </row>
    <row r="86" spans="1:10" ht="20.100000000000001" customHeight="1">
      <c r="A86" s="105" t="s">
        <v>219</v>
      </c>
      <c r="B86" s="106" t="s">
        <v>975</v>
      </c>
      <c r="C86" s="107" t="s">
        <v>976</v>
      </c>
      <c r="D86" s="108">
        <f>D87+D99+D108+D113</f>
        <v>1010624000</v>
      </c>
      <c r="E86" s="108">
        <f>E87+E99+E108+E113</f>
        <v>720856000</v>
      </c>
      <c r="F86" s="109">
        <f t="shared" si="8"/>
        <v>289768000</v>
      </c>
      <c r="G86" s="109">
        <f>G87+G99+G108+G113</f>
        <v>362959200</v>
      </c>
      <c r="H86" s="110">
        <f>G86/E86*100</f>
        <v>50.351138091380243</v>
      </c>
      <c r="I86" s="109">
        <f>I87+I99+I108+I113</f>
        <v>357896800</v>
      </c>
      <c r="J86" s="110">
        <f t="shared" si="7"/>
        <v>49.64886190861975</v>
      </c>
    </row>
    <row r="87" spans="1:10" ht="20.100000000000001" customHeight="1">
      <c r="A87" s="111">
        <v>6</v>
      </c>
      <c r="B87" s="193" t="s">
        <v>977</v>
      </c>
      <c r="C87" s="195" t="s">
        <v>3</v>
      </c>
      <c r="D87" s="197">
        <f>SUM(D91:D98)</f>
        <v>161880000</v>
      </c>
      <c r="E87" s="197">
        <f>'rekap REALISASI REKO '!AB88</f>
        <v>166200000</v>
      </c>
      <c r="F87" s="197">
        <f>D87-E87</f>
        <v>-4320000</v>
      </c>
      <c r="G87" s="216">
        <f>'rekap REALISASI REKO '!AQ88</f>
        <v>140056450</v>
      </c>
      <c r="H87" s="214">
        <f>G87/E87*100</f>
        <v>84.269825511432003</v>
      </c>
      <c r="I87" s="214">
        <f>E87-G87</f>
        <v>26143550</v>
      </c>
      <c r="J87" s="214">
        <f>I87/E87*100</f>
        <v>15.730174488567991</v>
      </c>
    </row>
    <row r="88" spans="1:10" ht="5.25" customHeight="1">
      <c r="A88" s="112"/>
      <c r="B88" s="194"/>
      <c r="C88" s="196"/>
      <c r="D88" s="198"/>
      <c r="E88" s="198"/>
      <c r="F88" s="198"/>
      <c r="G88" s="217"/>
      <c r="H88" s="215"/>
      <c r="I88" s="215"/>
      <c r="J88" s="215"/>
    </row>
    <row r="89" spans="1:10" ht="20.100000000000001" hidden="1" customHeight="1">
      <c r="A89" s="97"/>
      <c r="B89" s="102" t="s">
        <v>978</v>
      </c>
      <c r="C89" s="103" t="s">
        <v>143</v>
      </c>
      <c r="D89" s="104"/>
      <c r="E89" s="104">
        <v>161880000</v>
      </c>
      <c r="F89" s="100">
        <f t="shared" si="8"/>
        <v>-161880000</v>
      </c>
      <c r="G89" s="100">
        <f t="shared" si="8"/>
        <v>323760000</v>
      </c>
      <c r="H89" s="101" t="e">
        <f t="shared" si="7"/>
        <v>#VALUE!</v>
      </c>
      <c r="I89" s="101">
        <f t="shared" ref="I89:I98" si="10">F89-G89</f>
        <v>-485640000</v>
      </c>
      <c r="J89" s="101">
        <f t="shared" si="7"/>
        <v>-300</v>
      </c>
    </row>
    <row r="90" spans="1:10" ht="20.100000000000001" hidden="1" customHeight="1">
      <c r="A90" s="97"/>
      <c r="B90" s="102" t="s">
        <v>979</v>
      </c>
      <c r="C90" s="103" t="s">
        <v>145</v>
      </c>
      <c r="D90" s="104"/>
      <c r="E90" s="104">
        <v>18008000</v>
      </c>
      <c r="F90" s="100">
        <f t="shared" si="8"/>
        <v>-18008000</v>
      </c>
      <c r="G90" s="100">
        <f t="shared" si="8"/>
        <v>36016000</v>
      </c>
      <c r="H90" s="101" t="e">
        <f t="shared" si="7"/>
        <v>#VALUE!</v>
      </c>
      <c r="I90" s="101">
        <f t="shared" si="10"/>
        <v>-54024000</v>
      </c>
      <c r="J90" s="101">
        <f t="shared" si="7"/>
        <v>-300</v>
      </c>
    </row>
    <row r="91" spans="1:10" ht="20.100000000000001" hidden="1" customHeight="1">
      <c r="A91" s="97"/>
      <c r="B91" s="102" t="s">
        <v>980</v>
      </c>
      <c r="C91" s="103" t="s">
        <v>226</v>
      </c>
      <c r="D91" s="104">
        <v>5480000</v>
      </c>
      <c r="E91" s="104">
        <v>5480000</v>
      </c>
      <c r="F91" s="100">
        <f t="shared" si="8"/>
        <v>0</v>
      </c>
      <c r="G91" s="100">
        <f t="shared" si="8"/>
        <v>5480000</v>
      </c>
      <c r="H91" s="101" t="e">
        <f t="shared" si="7"/>
        <v>#VALUE!</v>
      </c>
      <c r="I91" s="101">
        <f t="shared" si="10"/>
        <v>-5480000</v>
      </c>
      <c r="J91" s="101">
        <f t="shared" si="7"/>
        <v>-100</v>
      </c>
    </row>
    <row r="92" spans="1:10" ht="20.100000000000001" hidden="1" customHeight="1">
      <c r="A92" s="97"/>
      <c r="B92" s="102" t="s">
        <v>981</v>
      </c>
      <c r="C92" s="103" t="s">
        <v>228</v>
      </c>
      <c r="D92" s="104">
        <v>12528000</v>
      </c>
      <c r="E92" s="104">
        <v>12528000</v>
      </c>
      <c r="F92" s="100">
        <f t="shared" si="8"/>
        <v>0</v>
      </c>
      <c r="G92" s="100">
        <f t="shared" si="8"/>
        <v>12528000</v>
      </c>
      <c r="H92" s="101" t="e">
        <f t="shared" si="7"/>
        <v>#VALUE!</v>
      </c>
      <c r="I92" s="101">
        <f t="shared" si="10"/>
        <v>-12528000</v>
      </c>
      <c r="J92" s="101">
        <f t="shared" si="7"/>
        <v>-100</v>
      </c>
    </row>
    <row r="93" spans="1:10" ht="20.100000000000001" hidden="1" customHeight="1">
      <c r="A93" s="97"/>
      <c r="B93" s="102" t="s">
        <v>982</v>
      </c>
      <c r="C93" s="103" t="s">
        <v>163</v>
      </c>
      <c r="D93" s="104"/>
      <c r="E93" s="104">
        <v>133000000</v>
      </c>
      <c r="F93" s="100">
        <f t="shared" si="8"/>
        <v>-133000000</v>
      </c>
      <c r="G93" s="100">
        <f t="shared" si="8"/>
        <v>266000000</v>
      </c>
      <c r="H93" s="101" t="e">
        <f t="shared" si="7"/>
        <v>#VALUE!</v>
      </c>
      <c r="I93" s="101">
        <f t="shared" si="10"/>
        <v>-399000000</v>
      </c>
      <c r="J93" s="101">
        <f t="shared" si="7"/>
        <v>-300</v>
      </c>
    </row>
    <row r="94" spans="1:10" ht="20.100000000000001" hidden="1" customHeight="1">
      <c r="A94" s="97"/>
      <c r="B94" s="102" t="s">
        <v>983</v>
      </c>
      <c r="C94" s="103" t="s">
        <v>231</v>
      </c>
      <c r="D94" s="104">
        <v>133000000</v>
      </c>
      <c r="E94" s="104">
        <v>133000000</v>
      </c>
      <c r="F94" s="100">
        <f t="shared" si="8"/>
        <v>0</v>
      </c>
      <c r="G94" s="100">
        <f t="shared" si="8"/>
        <v>133000000</v>
      </c>
      <c r="H94" s="101" t="e">
        <f t="shared" si="7"/>
        <v>#VALUE!</v>
      </c>
      <c r="I94" s="101">
        <f t="shared" si="10"/>
        <v>-133000000</v>
      </c>
      <c r="J94" s="101">
        <f t="shared" si="7"/>
        <v>-100</v>
      </c>
    </row>
    <row r="95" spans="1:10" ht="20.100000000000001" hidden="1" customHeight="1">
      <c r="A95" s="97"/>
      <c r="B95" s="102" t="s">
        <v>984</v>
      </c>
      <c r="C95" s="103" t="s">
        <v>233</v>
      </c>
      <c r="D95" s="104"/>
      <c r="E95" s="104">
        <v>9792000</v>
      </c>
      <c r="F95" s="100">
        <f t="shared" si="8"/>
        <v>-9792000</v>
      </c>
      <c r="G95" s="100">
        <f t="shared" si="8"/>
        <v>19584000</v>
      </c>
      <c r="H95" s="101" t="e">
        <f t="shared" si="7"/>
        <v>#VALUE!</v>
      </c>
      <c r="I95" s="101">
        <f t="shared" si="10"/>
        <v>-29376000</v>
      </c>
      <c r="J95" s="101">
        <f t="shared" si="7"/>
        <v>-300</v>
      </c>
    </row>
    <row r="96" spans="1:10" ht="20.100000000000001" hidden="1" customHeight="1">
      <c r="A96" s="97"/>
      <c r="B96" s="102" t="s">
        <v>985</v>
      </c>
      <c r="C96" s="103" t="s">
        <v>986</v>
      </c>
      <c r="D96" s="104">
        <v>9792000</v>
      </c>
      <c r="E96" s="104">
        <v>9792000</v>
      </c>
      <c r="F96" s="100">
        <f t="shared" si="8"/>
        <v>0</v>
      </c>
      <c r="G96" s="100">
        <f t="shared" si="8"/>
        <v>9792000</v>
      </c>
      <c r="H96" s="101" t="e">
        <f t="shared" si="7"/>
        <v>#VALUE!</v>
      </c>
      <c r="I96" s="101">
        <f t="shared" si="10"/>
        <v>-9792000</v>
      </c>
      <c r="J96" s="101">
        <f t="shared" si="7"/>
        <v>-100</v>
      </c>
    </row>
    <row r="97" spans="1:10" ht="20.100000000000001" hidden="1" customHeight="1">
      <c r="A97" s="97"/>
      <c r="B97" s="102" t="s">
        <v>987</v>
      </c>
      <c r="C97" s="103" t="s">
        <v>243</v>
      </c>
      <c r="D97" s="104"/>
      <c r="E97" s="104">
        <v>1080000</v>
      </c>
      <c r="F97" s="100">
        <f t="shared" si="8"/>
        <v>-1080000</v>
      </c>
      <c r="G97" s="100">
        <f t="shared" si="8"/>
        <v>2160000</v>
      </c>
      <c r="H97" s="101" t="e">
        <f t="shared" si="7"/>
        <v>#VALUE!</v>
      </c>
      <c r="I97" s="101">
        <f t="shared" si="10"/>
        <v>-3240000</v>
      </c>
      <c r="J97" s="101">
        <f t="shared" si="7"/>
        <v>-300</v>
      </c>
    </row>
    <row r="98" spans="1:10" ht="20.100000000000001" hidden="1" customHeight="1">
      <c r="A98" s="97"/>
      <c r="B98" s="102" t="s">
        <v>988</v>
      </c>
      <c r="C98" s="103" t="s">
        <v>245</v>
      </c>
      <c r="D98" s="104">
        <v>1080000</v>
      </c>
      <c r="E98" s="104">
        <v>1080000</v>
      </c>
      <c r="F98" s="100">
        <f t="shared" si="8"/>
        <v>0</v>
      </c>
      <c r="G98" s="100">
        <f t="shared" si="8"/>
        <v>1080000</v>
      </c>
      <c r="H98" s="101" t="e">
        <f t="shared" si="7"/>
        <v>#VALUE!</v>
      </c>
      <c r="I98" s="101">
        <f t="shared" si="10"/>
        <v>-1080000</v>
      </c>
      <c r="J98" s="101">
        <f t="shared" si="7"/>
        <v>-100</v>
      </c>
    </row>
    <row r="99" spans="1:10" ht="20.100000000000001" customHeight="1">
      <c r="A99" s="111">
        <v>7</v>
      </c>
      <c r="B99" s="193" t="s">
        <v>989</v>
      </c>
      <c r="C99" s="195" t="s">
        <v>4</v>
      </c>
      <c r="D99" s="197">
        <v>344845000</v>
      </c>
      <c r="E99" s="197">
        <f>'rekap REALISASI REKO '!AB102</f>
        <v>312656000</v>
      </c>
      <c r="F99" s="197">
        <f>D99-E99</f>
        <v>32189000</v>
      </c>
      <c r="G99" s="216">
        <f>'rekap REALISASI REKO '!AQ102</f>
        <v>165332750</v>
      </c>
      <c r="H99" s="214">
        <f>G99/E99*100</f>
        <v>52.880082262934344</v>
      </c>
      <c r="I99" s="214">
        <f>E99-G99</f>
        <v>147323250</v>
      </c>
      <c r="J99" s="214">
        <f>I99/E99*100</f>
        <v>47.119917737065656</v>
      </c>
    </row>
    <row r="100" spans="1:10" ht="6.75" customHeight="1">
      <c r="A100" s="112"/>
      <c r="B100" s="194"/>
      <c r="C100" s="196"/>
      <c r="D100" s="198"/>
      <c r="E100" s="198"/>
      <c r="F100" s="198"/>
      <c r="G100" s="217"/>
      <c r="H100" s="215"/>
      <c r="I100" s="215"/>
      <c r="J100" s="215"/>
    </row>
    <row r="101" spans="1:10" ht="20.100000000000001" hidden="1" customHeight="1">
      <c r="A101" s="97"/>
      <c r="B101" s="102" t="s">
        <v>990</v>
      </c>
      <c r="C101" s="103" t="s">
        <v>143</v>
      </c>
      <c r="D101" s="104"/>
      <c r="E101" s="104">
        <v>344845000</v>
      </c>
      <c r="F101" s="100">
        <f t="shared" si="8"/>
        <v>-344845000</v>
      </c>
      <c r="G101" s="100">
        <f t="shared" si="8"/>
        <v>689690000</v>
      </c>
      <c r="H101" s="101" t="e">
        <f t="shared" si="7"/>
        <v>#VALUE!</v>
      </c>
      <c r="I101" s="101">
        <f t="shared" ref="I101:I107" si="11">F101-G101</f>
        <v>-1034535000</v>
      </c>
      <c r="J101" s="101">
        <f t="shared" si="7"/>
        <v>-300</v>
      </c>
    </row>
    <row r="102" spans="1:10" ht="20.100000000000001" hidden="1" customHeight="1">
      <c r="A102" s="97"/>
      <c r="B102" s="102" t="s">
        <v>991</v>
      </c>
      <c r="C102" s="103" t="s">
        <v>233</v>
      </c>
      <c r="D102" s="104"/>
      <c r="E102" s="104">
        <v>344845000</v>
      </c>
      <c r="F102" s="100">
        <f t="shared" si="8"/>
        <v>-344845000</v>
      </c>
      <c r="G102" s="100">
        <f t="shared" si="8"/>
        <v>689690000</v>
      </c>
      <c r="H102" s="101" t="e">
        <f t="shared" si="7"/>
        <v>#VALUE!</v>
      </c>
      <c r="I102" s="101">
        <f t="shared" si="11"/>
        <v>-1034535000</v>
      </c>
      <c r="J102" s="101">
        <f t="shared" si="7"/>
        <v>-300</v>
      </c>
    </row>
    <row r="103" spans="1:10" ht="20.100000000000001" hidden="1" customHeight="1">
      <c r="A103" s="97"/>
      <c r="B103" s="102" t="s">
        <v>992</v>
      </c>
      <c r="C103" s="103" t="s">
        <v>235</v>
      </c>
      <c r="D103" s="104">
        <v>61860000</v>
      </c>
      <c r="E103" s="104">
        <v>61860000</v>
      </c>
      <c r="F103" s="100">
        <f t="shared" si="8"/>
        <v>0</v>
      </c>
      <c r="G103" s="100">
        <f t="shared" si="8"/>
        <v>61860000</v>
      </c>
      <c r="H103" s="101" t="e">
        <f t="shared" si="7"/>
        <v>#VALUE!</v>
      </c>
      <c r="I103" s="101">
        <f t="shared" si="11"/>
        <v>-61860000</v>
      </c>
      <c r="J103" s="101">
        <f t="shared" si="7"/>
        <v>-100</v>
      </c>
    </row>
    <row r="104" spans="1:10" ht="20.100000000000001" hidden="1" customHeight="1">
      <c r="A104" s="97"/>
      <c r="B104" s="102" t="s">
        <v>993</v>
      </c>
      <c r="C104" s="103" t="s">
        <v>251</v>
      </c>
      <c r="D104" s="104">
        <v>48737000</v>
      </c>
      <c r="E104" s="104">
        <v>48737000</v>
      </c>
      <c r="F104" s="100">
        <f t="shared" si="8"/>
        <v>0</v>
      </c>
      <c r="G104" s="100">
        <f t="shared" si="8"/>
        <v>48737000</v>
      </c>
      <c r="H104" s="101" t="e">
        <f t="shared" si="7"/>
        <v>#VALUE!</v>
      </c>
      <c r="I104" s="101">
        <f t="shared" si="11"/>
        <v>-48737000</v>
      </c>
      <c r="J104" s="101">
        <f t="shared" si="7"/>
        <v>-100</v>
      </c>
    </row>
    <row r="105" spans="1:10" ht="20.100000000000001" hidden="1" customHeight="1">
      <c r="A105" s="97"/>
      <c r="B105" s="102" t="s">
        <v>994</v>
      </c>
      <c r="C105" s="103" t="s">
        <v>986</v>
      </c>
      <c r="D105" s="104">
        <v>220292000</v>
      </c>
      <c r="E105" s="104">
        <v>220292000</v>
      </c>
      <c r="F105" s="100">
        <f t="shared" si="8"/>
        <v>0</v>
      </c>
      <c r="G105" s="100">
        <f t="shared" si="8"/>
        <v>220292000</v>
      </c>
      <c r="H105" s="101" t="e">
        <f t="shared" si="7"/>
        <v>#VALUE!</v>
      </c>
      <c r="I105" s="101">
        <f t="shared" si="11"/>
        <v>-220292000</v>
      </c>
      <c r="J105" s="101">
        <f t="shared" si="7"/>
        <v>-100</v>
      </c>
    </row>
    <row r="106" spans="1:10" ht="20.100000000000001" hidden="1" customHeight="1">
      <c r="A106" s="97"/>
      <c r="B106" s="102" t="s">
        <v>995</v>
      </c>
      <c r="C106" s="103" t="s">
        <v>254</v>
      </c>
      <c r="D106" s="104">
        <v>1903000</v>
      </c>
      <c r="E106" s="104">
        <v>1903000</v>
      </c>
      <c r="F106" s="100">
        <f t="shared" si="8"/>
        <v>0</v>
      </c>
      <c r="G106" s="100">
        <f t="shared" si="8"/>
        <v>1903000</v>
      </c>
      <c r="H106" s="101" t="e">
        <f t="shared" si="7"/>
        <v>#VALUE!</v>
      </c>
      <c r="I106" s="101">
        <f t="shared" si="11"/>
        <v>-1903000</v>
      </c>
      <c r="J106" s="101">
        <f t="shared" si="7"/>
        <v>-100</v>
      </c>
    </row>
    <row r="107" spans="1:10" ht="20.100000000000001" hidden="1" customHeight="1">
      <c r="A107" s="97"/>
      <c r="B107" s="102" t="s">
        <v>996</v>
      </c>
      <c r="C107" s="103" t="s">
        <v>256</v>
      </c>
      <c r="D107" s="104">
        <v>12053000</v>
      </c>
      <c r="E107" s="104">
        <v>12053000</v>
      </c>
      <c r="F107" s="100">
        <f t="shared" si="8"/>
        <v>0</v>
      </c>
      <c r="G107" s="100">
        <f t="shared" si="8"/>
        <v>12053000</v>
      </c>
      <c r="H107" s="101" t="e">
        <f t="shared" si="7"/>
        <v>#VALUE!</v>
      </c>
      <c r="I107" s="101">
        <f t="shared" si="11"/>
        <v>-12053000</v>
      </c>
      <c r="J107" s="101">
        <f t="shared" si="7"/>
        <v>-100</v>
      </c>
    </row>
    <row r="108" spans="1:10" ht="20.100000000000001" customHeight="1">
      <c r="A108" s="111">
        <v>8</v>
      </c>
      <c r="B108" s="193" t="s">
        <v>997</v>
      </c>
      <c r="C108" s="195" t="s">
        <v>5</v>
      </c>
      <c r="D108" s="197">
        <f>SUM(D111:D112)</f>
        <v>43002000</v>
      </c>
      <c r="E108" s="197">
        <f>'rekap REALISASI REKO '!AB114</f>
        <v>42000000</v>
      </c>
      <c r="F108" s="197">
        <f>D108-E108</f>
        <v>1002000</v>
      </c>
      <c r="G108" s="216">
        <f>'rekap REALISASI REKO '!AQ114</f>
        <v>42000000</v>
      </c>
      <c r="H108" s="214">
        <f>G108/E108*100</f>
        <v>100</v>
      </c>
      <c r="I108" s="214">
        <f>E108-G108</f>
        <v>0</v>
      </c>
      <c r="J108" s="214">
        <f>I108/E108*100</f>
        <v>0</v>
      </c>
    </row>
    <row r="109" spans="1:10" ht="6.75" customHeight="1">
      <c r="A109" s="112"/>
      <c r="B109" s="194"/>
      <c r="C109" s="196"/>
      <c r="D109" s="198"/>
      <c r="E109" s="198"/>
      <c r="F109" s="198"/>
      <c r="G109" s="217"/>
      <c r="H109" s="215"/>
      <c r="I109" s="215"/>
      <c r="J109" s="215"/>
    </row>
    <row r="110" spans="1:10" ht="20.100000000000001" hidden="1" customHeight="1">
      <c r="A110" s="97"/>
      <c r="B110" s="102" t="s">
        <v>998</v>
      </c>
      <c r="C110" s="103" t="s">
        <v>143</v>
      </c>
      <c r="D110" s="104"/>
      <c r="E110" s="104">
        <v>43002000</v>
      </c>
      <c r="F110" s="100">
        <f t="shared" si="8"/>
        <v>-43002000</v>
      </c>
      <c r="G110" s="100">
        <f t="shared" si="8"/>
        <v>86004000</v>
      </c>
      <c r="H110" s="101" t="e">
        <f t="shared" si="7"/>
        <v>#VALUE!</v>
      </c>
      <c r="I110" s="101">
        <f>F110-G110</f>
        <v>-129006000</v>
      </c>
      <c r="J110" s="101">
        <f t="shared" si="7"/>
        <v>-300</v>
      </c>
    </row>
    <row r="111" spans="1:10" ht="20.100000000000001" hidden="1" customHeight="1">
      <c r="A111" s="97"/>
      <c r="B111" s="102" t="s">
        <v>999</v>
      </c>
      <c r="C111" s="103" t="s">
        <v>239</v>
      </c>
      <c r="D111" s="104"/>
      <c r="E111" s="104">
        <v>43002000</v>
      </c>
      <c r="F111" s="100">
        <f t="shared" si="8"/>
        <v>-43002000</v>
      </c>
      <c r="G111" s="100">
        <f t="shared" si="8"/>
        <v>86004000</v>
      </c>
      <c r="H111" s="101" t="e">
        <f t="shared" si="7"/>
        <v>#VALUE!</v>
      </c>
      <c r="I111" s="101">
        <f>F111-G111</f>
        <v>-129006000</v>
      </c>
      <c r="J111" s="101">
        <f t="shared" si="7"/>
        <v>-300</v>
      </c>
    </row>
    <row r="112" spans="1:10" ht="20.100000000000001" hidden="1" customHeight="1">
      <c r="A112" s="97"/>
      <c r="B112" s="102" t="s">
        <v>1000</v>
      </c>
      <c r="C112" s="103" t="s">
        <v>266</v>
      </c>
      <c r="D112" s="104">
        <v>43002000</v>
      </c>
      <c r="E112" s="104">
        <v>43002000</v>
      </c>
      <c r="F112" s="100">
        <f t="shared" si="8"/>
        <v>0</v>
      </c>
      <c r="G112" s="100">
        <f t="shared" si="8"/>
        <v>43002000</v>
      </c>
      <c r="H112" s="101" t="e">
        <f t="shared" si="7"/>
        <v>#VALUE!</v>
      </c>
      <c r="I112" s="101">
        <f>F112-G112</f>
        <v>-43002000</v>
      </c>
      <c r="J112" s="101">
        <f t="shared" si="7"/>
        <v>-100</v>
      </c>
    </row>
    <row r="113" spans="1:10" ht="20.100000000000001" customHeight="1">
      <c r="A113" s="111">
        <v>9</v>
      </c>
      <c r="B113" s="193" t="s">
        <v>1001</v>
      </c>
      <c r="C113" s="195" t="s">
        <v>268</v>
      </c>
      <c r="D113" s="197">
        <v>460897000</v>
      </c>
      <c r="E113" s="197">
        <f>'rekap REALISASI REKO '!AB118</f>
        <v>200000000</v>
      </c>
      <c r="F113" s="197">
        <f>D113-E113</f>
        <v>260897000</v>
      </c>
      <c r="G113" s="216">
        <v>15570000</v>
      </c>
      <c r="H113" s="214">
        <f>G113/E113*100</f>
        <v>7.7850000000000001</v>
      </c>
      <c r="I113" s="214">
        <f>E113-G113</f>
        <v>184430000</v>
      </c>
      <c r="J113" s="214">
        <f>I113/E113*100</f>
        <v>92.215000000000003</v>
      </c>
    </row>
    <row r="114" spans="1:10" ht="7.5" customHeight="1">
      <c r="A114" s="112"/>
      <c r="B114" s="194"/>
      <c r="C114" s="196"/>
      <c r="D114" s="198"/>
      <c r="E114" s="198"/>
      <c r="F114" s="198"/>
      <c r="G114" s="217"/>
      <c r="H114" s="215"/>
      <c r="I114" s="215"/>
      <c r="J114" s="215"/>
    </row>
    <row r="115" spans="1:10" ht="20.100000000000001" hidden="1" customHeight="1">
      <c r="A115" s="97"/>
      <c r="B115" s="102" t="s">
        <v>1002</v>
      </c>
      <c r="C115" s="103" t="s">
        <v>270</v>
      </c>
      <c r="D115" s="104"/>
      <c r="E115" s="104">
        <v>460897000</v>
      </c>
      <c r="F115" s="100">
        <f t="shared" si="8"/>
        <v>-460897000</v>
      </c>
      <c r="G115" s="100">
        <f t="shared" si="8"/>
        <v>921794000</v>
      </c>
      <c r="H115" s="101" t="e">
        <f t="shared" si="7"/>
        <v>#VALUE!</v>
      </c>
      <c r="I115" s="101">
        <f>F115-G115</f>
        <v>-1382691000</v>
      </c>
      <c r="J115" s="101">
        <f t="shared" si="7"/>
        <v>-300</v>
      </c>
    </row>
    <row r="116" spans="1:10" ht="20.100000000000001" hidden="1" customHeight="1">
      <c r="A116" s="97"/>
      <c r="B116" s="102" t="s">
        <v>1003</v>
      </c>
      <c r="C116" s="103" t="s">
        <v>272</v>
      </c>
      <c r="D116" s="104"/>
      <c r="E116" s="104">
        <v>460897000</v>
      </c>
      <c r="F116" s="100">
        <f t="shared" si="8"/>
        <v>-460897000</v>
      </c>
      <c r="G116" s="100">
        <f t="shared" si="8"/>
        <v>921794000</v>
      </c>
      <c r="H116" s="101" t="e">
        <f t="shared" si="7"/>
        <v>#VALUE!</v>
      </c>
      <c r="I116" s="101">
        <f>F116-G116</f>
        <v>-1382691000</v>
      </c>
      <c r="J116" s="101">
        <f t="shared" si="7"/>
        <v>-300</v>
      </c>
    </row>
    <row r="117" spans="1:10" ht="20.100000000000001" hidden="1" customHeight="1">
      <c r="A117" s="97"/>
      <c r="B117" s="102" t="s">
        <v>1004</v>
      </c>
      <c r="C117" s="103" t="s">
        <v>274</v>
      </c>
      <c r="D117" s="104">
        <v>460897000</v>
      </c>
      <c r="E117" s="104">
        <v>460897000</v>
      </c>
      <c r="F117" s="100">
        <f t="shared" si="8"/>
        <v>0</v>
      </c>
      <c r="G117" s="100">
        <f t="shared" si="8"/>
        <v>460897000</v>
      </c>
      <c r="H117" s="101" t="e">
        <f t="shared" si="7"/>
        <v>#VALUE!</v>
      </c>
      <c r="I117" s="101">
        <f>F117-G117</f>
        <v>-460897000</v>
      </c>
      <c r="J117" s="101">
        <f t="shared" si="7"/>
        <v>-100</v>
      </c>
    </row>
    <row r="118" spans="1:10" ht="20.100000000000001" customHeight="1">
      <c r="A118" s="105" t="s">
        <v>275</v>
      </c>
      <c r="B118" s="106" t="s">
        <v>1005</v>
      </c>
      <c r="C118" s="107" t="s">
        <v>277</v>
      </c>
      <c r="D118" s="108">
        <f>D119</f>
        <v>12508000</v>
      </c>
      <c r="E118" s="108">
        <f>E119</f>
        <v>12950000</v>
      </c>
      <c r="F118" s="109">
        <f t="shared" si="8"/>
        <v>-442000</v>
      </c>
      <c r="G118" s="109">
        <f>G119</f>
        <v>11823550</v>
      </c>
      <c r="H118" s="110">
        <f>G118/E118*100</f>
        <v>91.301544401544405</v>
      </c>
      <c r="I118" s="109">
        <f>I119</f>
        <v>1126450</v>
      </c>
      <c r="J118" s="110">
        <f t="shared" si="7"/>
        <v>8.6984555984555989</v>
      </c>
    </row>
    <row r="119" spans="1:10" ht="20.100000000000001" customHeight="1">
      <c r="A119" s="111">
        <v>10</v>
      </c>
      <c r="B119" s="193" t="s">
        <v>1006</v>
      </c>
      <c r="C119" s="195" t="s">
        <v>279</v>
      </c>
      <c r="D119" s="197">
        <f>SUM(D122:D134)</f>
        <v>12508000</v>
      </c>
      <c r="E119" s="197">
        <f>'rekap REALISASI REKO '!AB123</f>
        <v>12950000</v>
      </c>
      <c r="F119" s="197">
        <f>D119-E119</f>
        <v>-442000</v>
      </c>
      <c r="G119" s="216">
        <f>'rekap REALISASI REKO '!AQ123</f>
        <v>11823550</v>
      </c>
      <c r="H119" s="214">
        <f>G119/E119*100</f>
        <v>91.301544401544405</v>
      </c>
      <c r="I119" s="214">
        <f>E119-G119</f>
        <v>1126450</v>
      </c>
      <c r="J119" s="214">
        <f>I119/E119*100</f>
        <v>8.6984555984555989</v>
      </c>
    </row>
    <row r="120" spans="1:10" ht="4.5" customHeight="1">
      <c r="A120" s="112"/>
      <c r="B120" s="194"/>
      <c r="C120" s="196"/>
      <c r="D120" s="198"/>
      <c r="E120" s="198"/>
      <c r="F120" s="198"/>
      <c r="G120" s="217"/>
      <c r="H120" s="215"/>
      <c r="I120" s="215"/>
      <c r="J120" s="215"/>
    </row>
    <row r="121" spans="1:10" ht="20.100000000000001" hidden="1" customHeight="1">
      <c r="A121" s="97"/>
      <c r="B121" s="102" t="s">
        <v>1007</v>
      </c>
      <c r="C121" s="103" t="s">
        <v>10</v>
      </c>
      <c r="D121" s="104"/>
      <c r="E121" s="104">
        <v>8048000</v>
      </c>
      <c r="F121" s="100">
        <f t="shared" si="8"/>
        <v>-8048000</v>
      </c>
      <c r="G121" s="100">
        <f t="shared" si="8"/>
        <v>16096000</v>
      </c>
      <c r="H121" s="101" t="e">
        <f t="shared" si="7"/>
        <v>#VALUE!</v>
      </c>
      <c r="I121" s="101">
        <f t="shared" ref="I121:I134" si="12">F121-G121</f>
        <v>-24144000</v>
      </c>
      <c r="J121" s="101">
        <f t="shared" si="7"/>
        <v>-300</v>
      </c>
    </row>
    <row r="122" spans="1:10" ht="20.100000000000001" hidden="1" customHeight="1">
      <c r="A122" s="97"/>
      <c r="B122" s="102" t="s">
        <v>1008</v>
      </c>
      <c r="C122" s="103" t="s">
        <v>177</v>
      </c>
      <c r="D122" s="104"/>
      <c r="E122" s="104">
        <v>7800000</v>
      </c>
      <c r="F122" s="100">
        <f t="shared" si="8"/>
        <v>-7800000</v>
      </c>
      <c r="G122" s="100">
        <f t="shared" si="8"/>
        <v>15600000</v>
      </c>
      <c r="H122" s="101" t="e">
        <f t="shared" si="7"/>
        <v>#VALUE!</v>
      </c>
      <c r="I122" s="101">
        <f t="shared" si="12"/>
        <v>-23400000</v>
      </c>
      <c r="J122" s="101">
        <f t="shared" si="7"/>
        <v>-300</v>
      </c>
    </row>
    <row r="123" spans="1:10" ht="20.100000000000001" hidden="1" customHeight="1">
      <c r="A123" s="97"/>
      <c r="B123" s="102" t="s">
        <v>1009</v>
      </c>
      <c r="C123" s="103" t="s">
        <v>283</v>
      </c>
      <c r="D123" s="104">
        <v>7800000</v>
      </c>
      <c r="E123" s="104">
        <v>7800000</v>
      </c>
      <c r="F123" s="100">
        <f t="shared" si="8"/>
        <v>0</v>
      </c>
      <c r="G123" s="100">
        <f t="shared" si="8"/>
        <v>7800000</v>
      </c>
      <c r="H123" s="101" t="e">
        <f t="shared" si="7"/>
        <v>#VALUE!</v>
      </c>
      <c r="I123" s="101">
        <f t="shared" si="12"/>
        <v>-7800000</v>
      </c>
      <c r="J123" s="101">
        <f t="shared" si="7"/>
        <v>-100</v>
      </c>
    </row>
    <row r="124" spans="1:10" ht="20.100000000000001" hidden="1" customHeight="1">
      <c r="A124" s="97"/>
      <c r="B124" s="102" t="s">
        <v>1010</v>
      </c>
      <c r="C124" s="103" t="s">
        <v>181</v>
      </c>
      <c r="D124" s="104"/>
      <c r="E124" s="104">
        <v>248000</v>
      </c>
      <c r="F124" s="100">
        <f t="shared" si="8"/>
        <v>-248000</v>
      </c>
      <c r="G124" s="100">
        <f t="shared" si="8"/>
        <v>496000</v>
      </c>
      <c r="H124" s="101" t="e">
        <f t="shared" si="7"/>
        <v>#VALUE!</v>
      </c>
      <c r="I124" s="101">
        <f t="shared" si="12"/>
        <v>-744000</v>
      </c>
      <c r="J124" s="101">
        <f t="shared" si="7"/>
        <v>-300</v>
      </c>
    </row>
    <row r="125" spans="1:10" ht="20.100000000000001" hidden="1" customHeight="1">
      <c r="A125" s="97"/>
      <c r="B125" s="102" t="s">
        <v>1011</v>
      </c>
      <c r="C125" s="103" t="s">
        <v>183</v>
      </c>
      <c r="D125" s="104">
        <v>248000</v>
      </c>
      <c r="E125" s="104">
        <v>248000</v>
      </c>
      <c r="F125" s="100">
        <f t="shared" si="8"/>
        <v>0</v>
      </c>
      <c r="G125" s="100">
        <f t="shared" si="8"/>
        <v>248000</v>
      </c>
      <c r="H125" s="101" t="e">
        <f t="shared" si="7"/>
        <v>#VALUE!</v>
      </c>
      <c r="I125" s="101">
        <f t="shared" si="12"/>
        <v>-248000</v>
      </c>
      <c r="J125" s="101">
        <f t="shared" si="7"/>
        <v>-100</v>
      </c>
    </row>
    <row r="126" spans="1:10" ht="20.100000000000001" hidden="1" customHeight="1">
      <c r="A126" s="97"/>
      <c r="B126" s="102" t="s">
        <v>1012</v>
      </c>
      <c r="C126" s="103" t="s">
        <v>143</v>
      </c>
      <c r="D126" s="104"/>
      <c r="E126" s="104">
        <v>4460000</v>
      </c>
      <c r="F126" s="100">
        <f t="shared" si="8"/>
        <v>-4460000</v>
      </c>
      <c r="G126" s="100">
        <f t="shared" si="8"/>
        <v>8920000</v>
      </c>
      <c r="H126" s="101" t="e">
        <f t="shared" si="7"/>
        <v>#VALUE!</v>
      </c>
      <c r="I126" s="101">
        <f t="shared" si="12"/>
        <v>-13380000</v>
      </c>
      <c r="J126" s="101">
        <f t="shared" si="7"/>
        <v>-300</v>
      </c>
    </row>
    <row r="127" spans="1:10" ht="20.100000000000001" hidden="1" customHeight="1">
      <c r="A127" s="97"/>
      <c r="B127" s="102" t="s">
        <v>1013</v>
      </c>
      <c r="C127" s="103" t="s">
        <v>145</v>
      </c>
      <c r="D127" s="104"/>
      <c r="E127" s="104">
        <v>822000</v>
      </c>
      <c r="F127" s="100">
        <f t="shared" si="8"/>
        <v>-822000</v>
      </c>
      <c r="G127" s="100">
        <f t="shared" si="8"/>
        <v>1644000</v>
      </c>
      <c r="H127" s="101" t="e">
        <f t="shared" si="7"/>
        <v>#VALUE!</v>
      </c>
      <c r="I127" s="101">
        <f t="shared" si="12"/>
        <v>-2466000</v>
      </c>
      <c r="J127" s="101">
        <f t="shared" si="7"/>
        <v>-300</v>
      </c>
    </row>
    <row r="128" spans="1:10" ht="20.100000000000001" hidden="1" customHeight="1">
      <c r="A128" s="97"/>
      <c r="B128" s="102" t="s">
        <v>1014</v>
      </c>
      <c r="C128" s="103" t="s">
        <v>147</v>
      </c>
      <c r="D128" s="104">
        <v>822000</v>
      </c>
      <c r="E128" s="104">
        <v>822000</v>
      </c>
      <c r="F128" s="100">
        <f t="shared" si="8"/>
        <v>0</v>
      </c>
      <c r="G128" s="100">
        <f t="shared" si="8"/>
        <v>822000</v>
      </c>
      <c r="H128" s="101" t="e">
        <f t="shared" si="7"/>
        <v>#VALUE!</v>
      </c>
      <c r="I128" s="101">
        <f t="shared" si="12"/>
        <v>-822000</v>
      </c>
      <c r="J128" s="101">
        <f t="shared" si="7"/>
        <v>-100</v>
      </c>
    </row>
    <row r="129" spans="1:10" ht="20.100000000000001" hidden="1" customHeight="1">
      <c r="A129" s="97"/>
      <c r="B129" s="102" t="s">
        <v>1015</v>
      </c>
      <c r="C129" s="103" t="s">
        <v>151</v>
      </c>
      <c r="D129" s="104"/>
      <c r="E129" s="104">
        <v>46000</v>
      </c>
      <c r="F129" s="100">
        <f t="shared" si="8"/>
        <v>-46000</v>
      </c>
      <c r="G129" s="100">
        <f t="shared" si="8"/>
        <v>92000</v>
      </c>
      <c r="H129" s="101" t="e">
        <f t="shared" si="7"/>
        <v>#VALUE!</v>
      </c>
      <c r="I129" s="101">
        <f t="shared" si="12"/>
        <v>-138000</v>
      </c>
      <c r="J129" s="101">
        <f t="shared" si="7"/>
        <v>-300</v>
      </c>
    </row>
    <row r="130" spans="1:10" ht="20.100000000000001" hidden="1" customHeight="1">
      <c r="A130" s="97"/>
      <c r="B130" s="102" t="s">
        <v>1016</v>
      </c>
      <c r="C130" s="103" t="s">
        <v>155</v>
      </c>
      <c r="D130" s="104">
        <v>46000</v>
      </c>
      <c r="E130" s="104">
        <v>46000</v>
      </c>
      <c r="F130" s="100">
        <f t="shared" si="8"/>
        <v>0</v>
      </c>
      <c r="G130" s="100">
        <f t="shared" si="8"/>
        <v>46000</v>
      </c>
      <c r="H130" s="101" t="e">
        <f t="shared" si="7"/>
        <v>#VALUE!</v>
      </c>
      <c r="I130" s="101">
        <f t="shared" si="12"/>
        <v>-46000</v>
      </c>
      <c r="J130" s="101">
        <f t="shared" si="7"/>
        <v>-100</v>
      </c>
    </row>
    <row r="131" spans="1:10" ht="20.100000000000001" hidden="1" customHeight="1">
      <c r="A131" s="97"/>
      <c r="B131" s="102" t="s">
        <v>1017</v>
      </c>
      <c r="C131" s="103" t="s">
        <v>193</v>
      </c>
      <c r="D131" s="104"/>
      <c r="E131" s="104">
        <v>2592000</v>
      </c>
      <c r="F131" s="100">
        <f t="shared" si="8"/>
        <v>-2592000</v>
      </c>
      <c r="G131" s="100">
        <f t="shared" si="8"/>
        <v>5184000</v>
      </c>
      <c r="H131" s="101" t="e">
        <f t="shared" si="7"/>
        <v>#VALUE!</v>
      </c>
      <c r="I131" s="101">
        <f t="shared" si="12"/>
        <v>-7776000</v>
      </c>
      <c r="J131" s="101">
        <f t="shared" si="7"/>
        <v>-300</v>
      </c>
    </row>
    <row r="132" spans="1:10" ht="20.100000000000001" hidden="1" customHeight="1">
      <c r="A132" s="97"/>
      <c r="B132" s="102" t="s">
        <v>1018</v>
      </c>
      <c r="C132" s="103" t="s">
        <v>195</v>
      </c>
      <c r="D132" s="104">
        <v>2592000</v>
      </c>
      <c r="E132" s="104">
        <v>2592000</v>
      </c>
      <c r="F132" s="100">
        <f t="shared" si="8"/>
        <v>0</v>
      </c>
      <c r="G132" s="100">
        <f t="shared" si="8"/>
        <v>2592000</v>
      </c>
      <c r="H132" s="101" t="e">
        <f t="shared" si="7"/>
        <v>#VALUE!</v>
      </c>
      <c r="I132" s="101">
        <f t="shared" si="12"/>
        <v>-2592000</v>
      </c>
      <c r="J132" s="101">
        <f t="shared" si="7"/>
        <v>-100</v>
      </c>
    </row>
    <row r="133" spans="1:10" ht="20.100000000000001" hidden="1" customHeight="1">
      <c r="A133" s="97"/>
      <c r="B133" s="102" t="s">
        <v>1019</v>
      </c>
      <c r="C133" s="103" t="s">
        <v>157</v>
      </c>
      <c r="D133" s="104"/>
      <c r="E133" s="104">
        <v>1000000</v>
      </c>
      <c r="F133" s="100">
        <f t="shared" si="8"/>
        <v>-1000000</v>
      </c>
      <c r="G133" s="100">
        <f t="shared" si="8"/>
        <v>2000000</v>
      </c>
      <c r="H133" s="101" t="e">
        <f t="shared" si="7"/>
        <v>#VALUE!</v>
      </c>
      <c r="I133" s="101">
        <f t="shared" si="12"/>
        <v>-3000000</v>
      </c>
      <c r="J133" s="101">
        <f t="shared" si="7"/>
        <v>-300</v>
      </c>
    </row>
    <row r="134" spans="1:10" ht="20.100000000000001" hidden="1" customHeight="1">
      <c r="A134" s="97"/>
      <c r="B134" s="102" t="s">
        <v>1020</v>
      </c>
      <c r="C134" s="103" t="s">
        <v>207</v>
      </c>
      <c r="D134" s="104">
        <v>1000000</v>
      </c>
      <c r="E134" s="104">
        <v>1000000</v>
      </c>
      <c r="F134" s="100">
        <f t="shared" si="8"/>
        <v>0</v>
      </c>
      <c r="G134" s="100">
        <f t="shared" si="8"/>
        <v>1000000</v>
      </c>
      <c r="H134" s="101" t="e">
        <f t="shared" si="7"/>
        <v>#VALUE!</v>
      </c>
      <c r="I134" s="101">
        <f t="shared" si="12"/>
        <v>-1000000</v>
      </c>
      <c r="J134" s="101">
        <f t="shared" si="7"/>
        <v>-100</v>
      </c>
    </row>
    <row r="135" spans="1:10" ht="20.100000000000001" customHeight="1">
      <c r="A135" s="105" t="s">
        <v>293</v>
      </c>
      <c r="B135" s="106" t="s">
        <v>1021</v>
      </c>
      <c r="C135" s="107" t="s">
        <v>295</v>
      </c>
      <c r="D135" s="108">
        <f>D136</f>
        <v>24488000</v>
      </c>
      <c r="E135" s="108">
        <f>E136</f>
        <v>24000000</v>
      </c>
      <c r="F135" s="109">
        <f t="shared" si="8"/>
        <v>488000</v>
      </c>
      <c r="G135" s="109">
        <f>G136</f>
        <v>17443525</v>
      </c>
      <c r="H135" s="110">
        <f>G135/E135*100</f>
        <v>72.681354166666665</v>
      </c>
      <c r="I135" s="109">
        <f>I136</f>
        <v>6556475</v>
      </c>
      <c r="J135" s="110">
        <f t="shared" si="7"/>
        <v>27.318645833333331</v>
      </c>
    </row>
    <row r="136" spans="1:10" ht="20.100000000000001" customHeight="1">
      <c r="A136" s="111">
        <v>11</v>
      </c>
      <c r="B136" s="193" t="s">
        <v>1022</v>
      </c>
      <c r="C136" s="195" t="s">
        <v>297</v>
      </c>
      <c r="D136" s="197">
        <f>SUM(D140:D151)</f>
        <v>24488000</v>
      </c>
      <c r="E136" s="197">
        <f>'rekap REALISASI REKO '!AB137</f>
        <v>24000000</v>
      </c>
      <c r="F136" s="197">
        <f>D136-E136</f>
        <v>488000</v>
      </c>
      <c r="G136" s="216">
        <f>'rekap REALISASI REKO '!AQ137</f>
        <v>17443525</v>
      </c>
      <c r="H136" s="214">
        <f>G136/E136*100</f>
        <v>72.681354166666665</v>
      </c>
      <c r="I136" s="214">
        <f>E136-G136</f>
        <v>6556475</v>
      </c>
      <c r="J136" s="214">
        <f>I136/E136*100</f>
        <v>27.318645833333331</v>
      </c>
    </row>
    <row r="137" spans="1:10" ht="15" customHeight="1">
      <c r="A137" s="112"/>
      <c r="B137" s="194"/>
      <c r="C137" s="196"/>
      <c r="D137" s="198"/>
      <c r="E137" s="198"/>
      <c r="F137" s="198"/>
      <c r="G137" s="217"/>
      <c r="H137" s="215"/>
      <c r="I137" s="215"/>
      <c r="J137" s="215"/>
    </row>
    <row r="138" spans="1:10" ht="20.100000000000001" hidden="1" customHeight="1">
      <c r="A138" s="97"/>
      <c r="B138" s="102" t="s">
        <v>1023</v>
      </c>
      <c r="C138" s="103" t="s">
        <v>10</v>
      </c>
      <c r="D138" s="104"/>
      <c r="E138" s="104">
        <v>6000000</v>
      </c>
      <c r="F138" s="100">
        <f t="shared" si="8"/>
        <v>-6000000</v>
      </c>
      <c r="G138" s="100">
        <f t="shared" si="8"/>
        <v>12000000</v>
      </c>
      <c r="H138" s="101" t="e">
        <f t="shared" ref="H138:J201" si="13">G138/C138*100</f>
        <v>#VALUE!</v>
      </c>
      <c r="I138" s="101">
        <f t="shared" ref="I138:I151" si="14">F138-G138</f>
        <v>-18000000</v>
      </c>
      <c r="J138" s="101">
        <f t="shared" si="13"/>
        <v>-300</v>
      </c>
    </row>
    <row r="139" spans="1:10" ht="20.100000000000001" hidden="1" customHeight="1">
      <c r="A139" s="97"/>
      <c r="B139" s="102" t="s">
        <v>1024</v>
      </c>
      <c r="C139" s="103" t="s">
        <v>177</v>
      </c>
      <c r="D139" s="104"/>
      <c r="E139" s="104">
        <v>6000000</v>
      </c>
      <c r="F139" s="100">
        <f t="shared" ref="F139:G202" si="15">D139-E139</f>
        <v>-6000000</v>
      </c>
      <c r="G139" s="100">
        <f t="shared" si="15"/>
        <v>12000000</v>
      </c>
      <c r="H139" s="101" t="e">
        <f t="shared" si="13"/>
        <v>#VALUE!</v>
      </c>
      <c r="I139" s="101">
        <f t="shared" si="14"/>
        <v>-18000000</v>
      </c>
      <c r="J139" s="101">
        <f t="shared" si="13"/>
        <v>-300</v>
      </c>
    </row>
    <row r="140" spans="1:10" ht="20.100000000000001" hidden="1" customHeight="1">
      <c r="A140" s="97"/>
      <c r="B140" s="102" t="s">
        <v>1025</v>
      </c>
      <c r="C140" s="103" t="s">
        <v>283</v>
      </c>
      <c r="D140" s="104">
        <v>6000000</v>
      </c>
      <c r="E140" s="104">
        <v>6000000</v>
      </c>
      <c r="F140" s="100">
        <f t="shared" si="15"/>
        <v>0</v>
      </c>
      <c r="G140" s="100">
        <f t="shared" si="15"/>
        <v>6000000</v>
      </c>
      <c r="H140" s="101" t="e">
        <f t="shared" si="13"/>
        <v>#VALUE!</v>
      </c>
      <c r="I140" s="101">
        <f t="shared" si="14"/>
        <v>-6000000</v>
      </c>
      <c r="J140" s="101">
        <f t="shared" si="13"/>
        <v>-100</v>
      </c>
    </row>
    <row r="141" spans="1:10" ht="20.100000000000001" hidden="1" customHeight="1">
      <c r="A141" s="97"/>
      <c r="B141" s="102" t="s">
        <v>1026</v>
      </c>
      <c r="C141" s="103" t="s">
        <v>143</v>
      </c>
      <c r="D141" s="104"/>
      <c r="E141" s="104">
        <v>18488000</v>
      </c>
      <c r="F141" s="100">
        <f t="shared" si="15"/>
        <v>-18488000</v>
      </c>
      <c r="G141" s="100">
        <f t="shared" si="15"/>
        <v>36976000</v>
      </c>
      <c r="H141" s="101" t="e">
        <f t="shared" si="13"/>
        <v>#VALUE!</v>
      </c>
      <c r="I141" s="101">
        <f t="shared" si="14"/>
        <v>-55464000</v>
      </c>
      <c r="J141" s="101">
        <f t="shared" si="13"/>
        <v>-300</v>
      </c>
    </row>
    <row r="142" spans="1:10" ht="20.100000000000001" hidden="1" customHeight="1">
      <c r="A142" s="97"/>
      <c r="B142" s="102" t="s">
        <v>1027</v>
      </c>
      <c r="C142" s="103" t="s">
        <v>145</v>
      </c>
      <c r="D142" s="104"/>
      <c r="E142" s="104">
        <v>1699000</v>
      </c>
      <c r="F142" s="100">
        <f t="shared" si="15"/>
        <v>-1699000</v>
      </c>
      <c r="G142" s="100">
        <f t="shared" si="15"/>
        <v>3398000</v>
      </c>
      <c r="H142" s="101" t="e">
        <f t="shared" si="13"/>
        <v>#VALUE!</v>
      </c>
      <c r="I142" s="101">
        <f t="shared" si="14"/>
        <v>-5097000</v>
      </c>
      <c r="J142" s="101">
        <f t="shared" si="13"/>
        <v>-300</v>
      </c>
    </row>
    <row r="143" spans="1:10" ht="20.100000000000001" hidden="1" customHeight="1">
      <c r="A143" s="97"/>
      <c r="B143" s="102" t="s">
        <v>1028</v>
      </c>
      <c r="C143" s="103" t="s">
        <v>147</v>
      </c>
      <c r="D143" s="104">
        <v>1699000</v>
      </c>
      <c r="E143" s="104">
        <v>1699000</v>
      </c>
      <c r="F143" s="100">
        <f t="shared" si="15"/>
        <v>0</v>
      </c>
      <c r="G143" s="100">
        <f t="shared" si="15"/>
        <v>1699000</v>
      </c>
      <c r="H143" s="101" t="e">
        <f t="shared" si="13"/>
        <v>#VALUE!</v>
      </c>
      <c r="I143" s="101">
        <f t="shared" si="14"/>
        <v>-1699000</v>
      </c>
      <c r="J143" s="101">
        <f t="shared" si="13"/>
        <v>-100</v>
      </c>
    </row>
    <row r="144" spans="1:10" ht="20.100000000000001" hidden="1" customHeight="1">
      <c r="A144" s="97"/>
      <c r="B144" s="102" t="s">
        <v>1029</v>
      </c>
      <c r="C144" s="103" t="s">
        <v>151</v>
      </c>
      <c r="D144" s="104"/>
      <c r="E144" s="104">
        <v>2044000</v>
      </c>
      <c r="F144" s="100">
        <f t="shared" si="15"/>
        <v>-2044000</v>
      </c>
      <c r="G144" s="100">
        <f t="shared" si="15"/>
        <v>4088000</v>
      </c>
      <c r="H144" s="101" t="e">
        <f t="shared" si="13"/>
        <v>#VALUE!</v>
      </c>
      <c r="I144" s="101">
        <f t="shared" si="14"/>
        <v>-6132000</v>
      </c>
      <c r="J144" s="101">
        <f t="shared" si="13"/>
        <v>-300</v>
      </c>
    </row>
    <row r="145" spans="1:10" ht="20.100000000000001" hidden="1" customHeight="1">
      <c r="A145" s="97"/>
      <c r="B145" s="102" t="s">
        <v>1030</v>
      </c>
      <c r="C145" s="103" t="s">
        <v>155</v>
      </c>
      <c r="D145" s="104">
        <v>1864000</v>
      </c>
      <c r="E145" s="104">
        <v>1864000</v>
      </c>
      <c r="F145" s="100">
        <f t="shared" si="15"/>
        <v>0</v>
      </c>
      <c r="G145" s="100">
        <f t="shared" si="15"/>
        <v>1864000</v>
      </c>
      <c r="H145" s="101" t="e">
        <f t="shared" si="13"/>
        <v>#VALUE!</v>
      </c>
      <c r="I145" s="101">
        <f t="shared" si="14"/>
        <v>-1864000</v>
      </c>
      <c r="J145" s="101">
        <f t="shared" si="13"/>
        <v>-100</v>
      </c>
    </row>
    <row r="146" spans="1:10" ht="20.100000000000001" hidden="1" customHeight="1">
      <c r="A146" s="97"/>
      <c r="B146" s="102" t="s">
        <v>1031</v>
      </c>
      <c r="C146" s="103" t="s">
        <v>309</v>
      </c>
      <c r="D146" s="104">
        <v>180000</v>
      </c>
      <c r="E146" s="104">
        <v>180000</v>
      </c>
      <c r="F146" s="100">
        <f t="shared" si="15"/>
        <v>0</v>
      </c>
      <c r="G146" s="100">
        <f t="shared" si="15"/>
        <v>180000</v>
      </c>
      <c r="H146" s="101" t="e">
        <f t="shared" si="13"/>
        <v>#VALUE!</v>
      </c>
      <c r="I146" s="101">
        <f t="shared" si="14"/>
        <v>-180000</v>
      </c>
      <c r="J146" s="101">
        <f t="shared" si="13"/>
        <v>-100</v>
      </c>
    </row>
    <row r="147" spans="1:10" ht="20.100000000000001" hidden="1" customHeight="1">
      <c r="A147" s="97"/>
      <c r="B147" s="102" t="s">
        <v>1032</v>
      </c>
      <c r="C147" s="103" t="s">
        <v>193</v>
      </c>
      <c r="D147" s="104"/>
      <c r="E147" s="104">
        <v>3645000</v>
      </c>
      <c r="F147" s="100">
        <f t="shared" si="15"/>
        <v>-3645000</v>
      </c>
      <c r="G147" s="100">
        <f t="shared" si="15"/>
        <v>7290000</v>
      </c>
      <c r="H147" s="101" t="e">
        <f t="shared" si="13"/>
        <v>#VALUE!</v>
      </c>
      <c r="I147" s="101">
        <f t="shared" si="14"/>
        <v>-10935000</v>
      </c>
      <c r="J147" s="101">
        <f t="shared" si="13"/>
        <v>-300</v>
      </c>
    </row>
    <row r="148" spans="1:10" ht="20.100000000000001" hidden="1" customHeight="1">
      <c r="A148" s="97"/>
      <c r="B148" s="102" t="s">
        <v>1033</v>
      </c>
      <c r="C148" s="103" t="s">
        <v>195</v>
      </c>
      <c r="D148" s="104">
        <v>3645000</v>
      </c>
      <c r="E148" s="104">
        <v>3645000</v>
      </c>
      <c r="F148" s="100">
        <f t="shared" si="15"/>
        <v>0</v>
      </c>
      <c r="G148" s="100">
        <f t="shared" si="15"/>
        <v>3645000</v>
      </c>
      <c r="H148" s="101" t="e">
        <f t="shared" si="13"/>
        <v>#VALUE!</v>
      </c>
      <c r="I148" s="101">
        <f t="shared" si="14"/>
        <v>-3645000</v>
      </c>
      <c r="J148" s="101">
        <f t="shared" si="13"/>
        <v>-100</v>
      </c>
    </row>
    <row r="149" spans="1:10" ht="20.100000000000001" hidden="1" customHeight="1">
      <c r="A149" s="97"/>
      <c r="B149" s="102" t="s">
        <v>1034</v>
      </c>
      <c r="C149" s="103" t="s">
        <v>157</v>
      </c>
      <c r="D149" s="104"/>
      <c r="E149" s="104">
        <v>11100000</v>
      </c>
      <c r="F149" s="100">
        <f t="shared" si="15"/>
        <v>-11100000</v>
      </c>
      <c r="G149" s="100">
        <f t="shared" si="15"/>
        <v>22200000</v>
      </c>
      <c r="H149" s="101" t="e">
        <f t="shared" si="13"/>
        <v>#VALUE!</v>
      </c>
      <c r="I149" s="101">
        <f t="shared" si="14"/>
        <v>-33300000</v>
      </c>
      <c r="J149" s="101">
        <f t="shared" si="13"/>
        <v>-300</v>
      </c>
    </row>
    <row r="150" spans="1:10" ht="20.100000000000001" hidden="1" customHeight="1">
      <c r="A150" s="97"/>
      <c r="B150" s="102" t="s">
        <v>1035</v>
      </c>
      <c r="C150" s="103" t="s">
        <v>159</v>
      </c>
      <c r="D150" s="104">
        <v>5450000</v>
      </c>
      <c r="E150" s="104">
        <v>5450000</v>
      </c>
      <c r="F150" s="100">
        <f t="shared" si="15"/>
        <v>0</v>
      </c>
      <c r="G150" s="100">
        <f t="shared" si="15"/>
        <v>5450000</v>
      </c>
      <c r="H150" s="101" t="e">
        <f t="shared" si="13"/>
        <v>#VALUE!</v>
      </c>
      <c r="I150" s="101">
        <f t="shared" si="14"/>
        <v>-5450000</v>
      </c>
      <c r="J150" s="101">
        <f t="shared" si="13"/>
        <v>-100</v>
      </c>
    </row>
    <row r="151" spans="1:10" ht="20.100000000000001" hidden="1" customHeight="1">
      <c r="A151" s="97"/>
      <c r="B151" s="102" t="s">
        <v>1036</v>
      </c>
      <c r="C151" s="103" t="s">
        <v>207</v>
      </c>
      <c r="D151" s="104">
        <v>5650000</v>
      </c>
      <c r="E151" s="104">
        <v>5650000</v>
      </c>
      <c r="F151" s="100">
        <f t="shared" si="15"/>
        <v>0</v>
      </c>
      <c r="G151" s="100">
        <f t="shared" si="15"/>
        <v>5650000</v>
      </c>
      <c r="H151" s="101" t="e">
        <f t="shared" si="13"/>
        <v>#VALUE!</v>
      </c>
      <c r="I151" s="101">
        <f t="shared" si="14"/>
        <v>-5650000</v>
      </c>
      <c r="J151" s="101">
        <f t="shared" si="13"/>
        <v>-100</v>
      </c>
    </row>
    <row r="152" spans="1:10" ht="20.100000000000001" customHeight="1">
      <c r="A152" s="113" t="s">
        <v>316</v>
      </c>
      <c r="B152" s="106" t="s">
        <v>1037</v>
      </c>
      <c r="C152" s="107" t="s">
        <v>364</v>
      </c>
      <c r="D152" s="108">
        <f>D153+D162+D184+D189</f>
        <v>988012000</v>
      </c>
      <c r="E152" s="108">
        <f>E153+E162+E184+E189</f>
        <v>947000000</v>
      </c>
      <c r="F152" s="109">
        <f t="shared" si="15"/>
        <v>41012000</v>
      </c>
      <c r="G152" s="109">
        <f>G153+G162+G184+G189</f>
        <v>379021075</v>
      </c>
      <c r="H152" s="110">
        <f>G152/E152*100</f>
        <v>40.02334477296727</v>
      </c>
      <c r="I152" s="109">
        <f>I153+I162+I184+I189</f>
        <v>567978925</v>
      </c>
      <c r="J152" s="110">
        <f t="shared" si="13"/>
        <v>59.976655227032737</v>
      </c>
    </row>
    <row r="153" spans="1:10" ht="20.100000000000001" customHeight="1">
      <c r="A153" s="111">
        <v>12</v>
      </c>
      <c r="B153" s="193" t="s">
        <v>1038</v>
      </c>
      <c r="C153" s="195" t="s">
        <v>366</v>
      </c>
      <c r="D153" s="197">
        <f>SUM(D157:D161)</f>
        <v>87000000</v>
      </c>
      <c r="E153" s="197">
        <f>'rekap REALISASI REKO '!AB193</f>
        <v>50000000</v>
      </c>
      <c r="F153" s="197">
        <f>D153-E153</f>
        <v>37000000</v>
      </c>
      <c r="G153" s="216">
        <f>'rekap REALISASI REKO '!AQ193</f>
        <v>49321100</v>
      </c>
      <c r="H153" s="214">
        <f>G153/E153*100</f>
        <v>98.642200000000003</v>
      </c>
      <c r="I153" s="214">
        <f>E153-G153</f>
        <v>678900</v>
      </c>
      <c r="J153" s="214">
        <f>I153/E153*100</f>
        <v>1.3577999999999999</v>
      </c>
    </row>
    <row r="154" spans="1:10" ht="20.100000000000001" customHeight="1">
      <c r="A154" s="112"/>
      <c r="B154" s="194"/>
      <c r="C154" s="196"/>
      <c r="D154" s="198"/>
      <c r="E154" s="198"/>
      <c r="F154" s="198"/>
      <c r="G154" s="217"/>
      <c r="H154" s="215"/>
      <c r="I154" s="215"/>
      <c r="J154" s="215"/>
    </row>
    <row r="155" spans="1:10" ht="20.100000000000001" hidden="1" customHeight="1">
      <c r="A155" s="97"/>
      <c r="B155" s="102" t="s">
        <v>1039</v>
      </c>
      <c r="C155" s="103" t="s">
        <v>270</v>
      </c>
      <c r="D155" s="104"/>
      <c r="E155" s="104">
        <v>87000000</v>
      </c>
      <c r="F155" s="100">
        <f t="shared" si="15"/>
        <v>-87000000</v>
      </c>
      <c r="G155" s="100">
        <f t="shared" si="15"/>
        <v>174000000</v>
      </c>
      <c r="H155" s="101" t="e">
        <f t="shared" si="13"/>
        <v>#VALUE!</v>
      </c>
      <c r="I155" s="101">
        <f t="shared" ref="I155:I161" si="16">F155-G155</f>
        <v>-261000000</v>
      </c>
      <c r="J155" s="101">
        <f t="shared" si="13"/>
        <v>-300</v>
      </c>
    </row>
    <row r="156" spans="1:10" ht="20.100000000000001" hidden="1" customHeight="1">
      <c r="A156" s="97"/>
      <c r="B156" s="102" t="s">
        <v>1040</v>
      </c>
      <c r="C156" s="103" t="s">
        <v>1041</v>
      </c>
      <c r="D156" s="104"/>
      <c r="E156" s="104">
        <v>57000000</v>
      </c>
      <c r="F156" s="100">
        <f t="shared" si="15"/>
        <v>-57000000</v>
      </c>
      <c r="G156" s="100">
        <f t="shared" si="15"/>
        <v>114000000</v>
      </c>
      <c r="H156" s="101" t="e">
        <f t="shared" si="13"/>
        <v>#VALUE!</v>
      </c>
      <c r="I156" s="101">
        <f t="shared" si="16"/>
        <v>-171000000</v>
      </c>
      <c r="J156" s="101">
        <f t="shared" si="13"/>
        <v>-300</v>
      </c>
    </row>
    <row r="157" spans="1:10" ht="20.100000000000001" hidden="1" customHeight="1">
      <c r="A157" s="97"/>
      <c r="B157" s="102" t="s">
        <v>1042</v>
      </c>
      <c r="C157" s="103" t="s">
        <v>375</v>
      </c>
      <c r="D157" s="104">
        <v>47520000</v>
      </c>
      <c r="E157" s="104">
        <v>47520000</v>
      </c>
      <c r="F157" s="100">
        <f t="shared" si="15"/>
        <v>0</v>
      </c>
      <c r="G157" s="100">
        <f t="shared" si="15"/>
        <v>47520000</v>
      </c>
      <c r="H157" s="101" t="e">
        <f t="shared" si="13"/>
        <v>#VALUE!</v>
      </c>
      <c r="I157" s="101">
        <f t="shared" si="16"/>
        <v>-47520000</v>
      </c>
      <c r="J157" s="101">
        <f t="shared" si="13"/>
        <v>-100</v>
      </c>
    </row>
    <row r="158" spans="1:10" ht="20.100000000000001" hidden="1" customHeight="1">
      <c r="A158" s="97"/>
      <c r="B158" s="102" t="s">
        <v>1043</v>
      </c>
      <c r="C158" s="103" t="s">
        <v>377</v>
      </c>
      <c r="D158" s="104">
        <v>3120000</v>
      </c>
      <c r="E158" s="104">
        <v>3120000</v>
      </c>
      <c r="F158" s="100">
        <f t="shared" si="15"/>
        <v>0</v>
      </c>
      <c r="G158" s="100">
        <f t="shared" si="15"/>
        <v>3120000</v>
      </c>
      <c r="H158" s="101" t="e">
        <f t="shared" si="13"/>
        <v>#VALUE!</v>
      </c>
      <c r="I158" s="101">
        <f t="shared" si="16"/>
        <v>-3120000</v>
      </c>
      <c r="J158" s="101">
        <f t="shared" si="13"/>
        <v>-100</v>
      </c>
    </row>
    <row r="159" spans="1:10" ht="20.100000000000001" hidden="1" customHeight="1">
      <c r="A159" s="97"/>
      <c r="B159" s="102" t="s">
        <v>1044</v>
      </c>
      <c r="C159" s="103" t="s">
        <v>1045</v>
      </c>
      <c r="D159" s="104">
        <v>6360000</v>
      </c>
      <c r="E159" s="104">
        <v>6360000</v>
      </c>
      <c r="F159" s="100">
        <f t="shared" si="15"/>
        <v>0</v>
      </c>
      <c r="G159" s="100">
        <f t="shared" si="15"/>
        <v>6360000</v>
      </c>
      <c r="H159" s="101" t="e">
        <f t="shared" si="13"/>
        <v>#VALUE!</v>
      </c>
      <c r="I159" s="101">
        <f t="shared" si="16"/>
        <v>-6360000</v>
      </c>
      <c r="J159" s="101">
        <f t="shared" si="13"/>
        <v>-100</v>
      </c>
    </row>
    <row r="160" spans="1:10" ht="20.100000000000001" hidden="1" customHeight="1">
      <c r="A160" s="97"/>
      <c r="B160" s="102" t="s">
        <v>1046</v>
      </c>
      <c r="C160" s="103" t="s">
        <v>629</v>
      </c>
      <c r="D160" s="104"/>
      <c r="E160" s="104">
        <v>30000000</v>
      </c>
      <c r="F160" s="100">
        <f t="shared" si="15"/>
        <v>-30000000</v>
      </c>
      <c r="G160" s="100">
        <f t="shared" si="15"/>
        <v>60000000</v>
      </c>
      <c r="H160" s="101" t="e">
        <f t="shared" si="13"/>
        <v>#VALUE!</v>
      </c>
      <c r="I160" s="101">
        <f t="shared" si="16"/>
        <v>-90000000</v>
      </c>
      <c r="J160" s="101">
        <f t="shared" si="13"/>
        <v>-300</v>
      </c>
    </row>
    <row r="161" spans="1:10" ht="31.5" hidden="1" customHeight="1">
      <c r="A161" s="97"/>
      <c r="B161" s="102" t="s">
        <v>1047</v>
      </c>
      <c r="C161" s="103" t="s">
        <v>631</v>
      </c>
      <c r="D161" s="104">
        <v>30000000</v>
      </c>
      <c r="E161" s="104">
        <v>30000000</v>
      </c>
      <c r="F161" s="100">
        <f t="shared" si="15"/>
        <v>0</v>
      </c>
      <c r="G161" s="100">
        <f t="shared" si="15"/>
        <v>30000000</v>
      </c>
      <c r="H161" s="101" t="e">
        <f t="shared" si="13"/>
        <v>#VALUE!</v>
      </c>
      <c r="I161" s="101">
        <f t="shared" si="16"/>
        <v>-30000000</v>
      </c>
      <c r="J161" s="101">
        <f t="shared" si="13"/>
        <v>-100</v>
      </c>
    </row>
    <row r="162" spans="1:10" ht="15" customHeight="1">
      <c r="A162" s="111">
        <v>13</v>
      </c>
      <c r="B162" s="193" t="s">
        <v>1048</v>
      </c>
      <c r="C162" s="195" t="s">
        <v>1049</v>
      </c>
      <c r="D162" s="197">
        <f>SUM(D166:D183)</f>
        <v>307567000</v>
      </c>
      <c r="E162" s="197">
        <f>'rekap REALISASI REKO '!AB200</f>
        <v>247000000</v>
      </c>
      <c r="F162" s="197">
        <f>D162-E162</f>
        <v>60567000</v>
      </c>
      <c r="G162" s="216">
        <f>'rekap REALISASI REKO '!AQ200</f>
        <v>220455800</v>
      </c>
      <c r="H162" s="214">
        <f>G162/E162*100</f>
        <v>89.253360323886639</v>
      </c>
      <c r="I162" s="214">
        <f>E162-G162</f>
        <v>26544200</v>
      </c>
      <c r="J162" s="214">
        <f>I162/E162*100</f>
        <v>10.746639676113361</v>
      </c>
    </row>
    <row r="163" spans="1:10" ht="9.75" customHeight="1">
      <c r="A163" s="112"/>
      <c r="B163" s="194"/>
      <c r="C163" s="196"/>
      <c r="D163" s="198"/>
      <c r="E163" s="198"/>
      <c r="F163" s="198"/>
      <c r="G163" s="217"/>
      <c r="H163" s="215"/>
      <c r="I163" s="215"/>
      <c r="J163" s="215"/>
    </row>
    <row r="164" spans="1:10" ht="20.100000000000001" hidden="1" customHeight="1">
      <c r="A164" s="97"/>
      <c r="B164" s="102" t="s">
        <v>1050</v>
      </c>
      <c r="C164" s="103" t="s">
        <v>10</v>
      </c>
      <c r="D164" s="104"/>
      <c r="E164" s="104">
        <v>8860000</v>
      </c>
      <c r="F164" s="100">
        <f t="shared" si="15"/>
        <v>-8860000</v>
      </c>
      <c r="G164" s="100">
        <f t="shared" si="15"/>
        <v>17720000</v>
      </c>
      <c r="H164" s="101" t="e">
        <f t="shared" si="13"/>
        <v>#VALUE!</v>
      </c>
      <c r="I164" s="101">
        <f t="shared" ref="I164:I183" si="17">F164-G164</f>
        <v>-26580000</v>
      </c>
      <c r="J164" s="101">
        <f t="shared" si="13"/>
        <v>-300</v>
      </c>
    </row>
    <row r="165" spans="1:10" ht="20.100000000000001" hidden="1" customHeight="1">
      <c r="A165" s="97"/>
      <c r="B165" s="102" t="s">
        <v>1051</v>
      </c>
      <c r="C165" s="103" t="s">
        <v>177</v>
      </c>
      <c r="D165" s="104"/>
      <c r="E165" s="104">
        <v>8860000</v>
      </c>
      <c r="F165" s="100">
        <f t="shared" si="15"/>
        <v>-8860000</v>
      </c>
      <c r="G165" s="100">
        <f t="shared" si="15"/>
        <v>17720000</v>
      </c>
      <c r="H165" s="101" t="e">
        <f t="shared" si="13"/>
        <v>#VALUE!</v>
      </c>
      <c r="I165" s="101">
        <f t="shared" si="17"/>
        <v>-26580000</v>
      </c>
      <c r="J165" s="101">
        <f t="shared" si="13"/>
        <v>-300</v>
      </c>
    </row>
    <row r="166" spans="1:10" ht="20.100000000000001" hidden="1" customHeight="1">
      <c r="A166" s="97"/>
      <c r="B166" s="102" t="s">
        <v>1052</v>
      </c>
      <c r="C166" s="103" t="s">
        <v>283</v>
      </c>
      <c r="D166" s="104">
        <v>7050000</v>
      </c>
      <c r="E166" s="104">
        <v>7050000</v>
      </c>
      <c r="F166" s="100">
        <f t="shared" si="15"/>
        <v>0</v>
      </c>
      <c r="G166" s="100">
        <f t="shared" si="15"/>
        <v>7050000</v>
      </c>
      <c r="H166" s="101" t="e">
        <f t="shared" si="13"/>
        <v>#VALUE!</v>
      </c>
      <c r="I166" s="101">
        <f t="shared" si="17"/>
        <v>-7050000</v>
      </c>
      <c r="J166" s="101">
        <f t="shared" si="13"/>
        <v>-100</v>
      </c>
    </row>
    <row r="167" spans="1:10" ht="20.100000000000001" hidden="1" customHeight="1">
      <c r="A167" s="97"/>
      <c r="B167" s="102" t="s">
        <v>1053</v>
      </c>
      <c r="C167" s="103" t="s">
        <v>384</v>
      </c>
      <c r="D167" s="104">
        <v>1810000</v>
      </c>
      <c r="E167" s="104">
        <v>1810000</v>
      </c>
      <c r="F167" s="100">
        <f t="shared" si="15"/>
        <v>0</v>
      </c>
      <c r="G167" s="100">
        <f t="shared" si="15"/>
        <v>1810000</v>
      </c>
      <c r="H167" s="101" t="e">
        <f t="shared" si="13"/>
        <v>#VALUE!</v>
      </c>
      <c r="I167" s="101">
        <f t="shared" si="17"/>
        <v>-1810000</v>
      </c>
      <c r="J167" s="101">
        <f t="shared" si="13"/>
        <v>-100</v>
      </c>
    </row>
    <row r="168" spans="1:10" ht="20.100000000000001" hidden="1" customHeight="1">
      <c r="A168" s="97"/>
      <c r="B168" s="102" t="s">
        <v>1054</v>
      </c>
      <c r="C168" s="103" t="s">
        <v>143</v>
      </c>
      <c r="D168" s="104"/>
      <c r="E168" s="104">
        <v>298707000</v>
      </c>
      <c r="F168" s="100">
        <f t="shared" si="15"/>
        <v>-298707000</v>
      </c>
      <c r="G168" s="100">
        <f t="shared" si="15"/>
        <v>597414000</v>
      </c>
      <c r="H168" s="101" t="e">
        <f t="shared" si="13"/>
        <v>#VALUE!</v>
      </c>
      <c r="I168" s="101">
        <f t="shared" si="17"/>
        <v>-896121000</v>
      </c>
      <c r="J168" s="101">
        <f t="shared" si="13"/>
        <v>-300</v>
      </c>
    </row>
    <row r="169" spans="1:10" ht="20.100000000000001" hidden="1" customHeight="1">
      <c r="A169" s="97"/>
      <c r="B169" s="102" t="s">
        <v>1055</v>
      </c>
      <c r="C169" s="103" t="s">
        <v>145</v>
      </c>
      <c r="D169" s="104"/>
      <c r="E169" s="104">
        <v>6770000</v>
      </c>
      <c r="F169" s="100">
        <f t="shared" si="15"/>
        <v>-6770000</v>
      </c>
      <c r="G169" s="100">
        <f t="shared" si="15"/>
        <v>13540000</v>
      </c>
      <c r="H169" s="101" t="e">
        <f t="shared" si="13"/>
        <v>#VALUE!</v>
      </c>
      <c r="I169" s="101">
        <f t="shared" si="17"/>
        <v>-20310000</v>
      </c>
      <c r="J169" s="101">
        <f t="shared" si="13"/>
        <v>-300</v>
      </c>
    </row>
    <row r="170" spans="1:10" ht="20.100000000000001" hidden="1" customHeight="1">
      <c r="A170" s="97"/>
      <c r="B170" s="102" t="s">
        <v>1056</v>
      </c>
      <c r="C170" s="103" t="s">
        <v>147</v>
      </c>
      <c r="D170" s="104">
        <v>6770000</v>
      </c>
      <c r="E170" s="104">
        <v>6770000</v>
      </c>
      <c r="F170" s="100">
        <f t="shared" si="15"/>
        <v>0</v>
      </c>
      <c r="G170" s="100">
        <f t="shared" si="15"/>
        <v>6770000</v>
      </c>
      <c r="H170" s="101" t="e">
        <f t="shared" si="13"/>
        <v>#VALUE!</v>
      </c>
      <c r="I170" s="101">
        <f t="shared" si="17"/>
        <v>-6770000</v>
      </c>
      <c r="J170" s="101">
        <f t="shared" si="13"/>
        <v>-100</v>
      </c>
    </row>
    <row r="171" spans="1:10" ht="20.100000000000001" hidden="1" customHeight="1">
      <c r="A171" s="97"/>
      <c r="B171" s="102" t="s">
        <v>1057</v>
      </c>
      <c r="C171" s="103" t="s">
        <v>389</v>
      </c>
      <c r="D171" s="104"/>
      <c r="E171" s="104">
        <v>182817000</v>
      </c>
      <c r="F171" s="100">
        <f t="shared" si="15"/>
        <v>-182817000</v>
      </c>
      <c r="G171" s="100">
        <f t="shared" si="15"/>
        <v>365634000</v>
      </c>
      <c r="H171" s="101" t="e">
        <f t="shared" si="13"/>
        <v>#VALUE!</v>
      </c>
      <c r="I171" s="101">
        <f t="shared" si="17"/>
        <v>-548451000</v>
      </c>
      <c r="J171" s="101">
        <f t="shared" si="13"/>
        <v>-300</v>
      </c>
    </row>
    <row r="172" spans="1:10" ht="20.100000000000001" hidden="1" customHeight="1">
      <c r="A172" s="97"/>
      <c r="B172" s="102" t="s">
        <v>1058</v>
      </c>
      <c r="C172" s="103" t="s">
        <v>391</v>
      </c>
      <c r="D172" s="104">
        <v>182817000</v>
      </c>
      <c r="E172" s="104">
        <v>182817000</v>
      </c>
      <c r="F172" s="100">
        <f t="shared" si="15"/>
        <v>0</v>
      </c>
      <c r="G172" s="100">
        <f t="shared" si="15"/>
        <v>182817000</v>
      </c>
      <c r="H172" s="101" t="e">
        <f t="shared" si="13"/>
        <v>#VALUE!</v>
      </c>
      <c r="I172" s="101">
        <f t="shared" si="17"/>
        <v>-182817000</v>
      </c>
      <c r="J172" s="101">
        <f t="shared" si="13"/>
        <v>-100</v>
      </c>
    </row>
    <row r="173" spans="1:10" ht="20.100000000000001" hidden="1" customHeight="1">
      <c r="A173" s="97"/>
      <c r="B173" s="102" t="s">
        <v>1059</v>
      </c>
      <c r="C173" s="103" t="s">
        <v>163</v>
      </c>
      <c r="D173" s="104"/>
      <c r="E173" s="104">
        <v>30000000</v>
      </c>
      <c r="F173" s="100">
        <f t="shared" si="15"/>
        <v>-30000000</v>
      </c>
      <c r="G173" s="100">
        <f t="shared" si="15"/>
        <v>60000000</v>
      </c>
      <c r="H173" s="101" t="e">
        <f t="shared" si="13"/>
        <v>#VALUE!</v>
      </c>
      <c r="I173" s="101">
        <f t="shared" si="17"/>
        <v>-90000000</v>
      </c>
      <c r="J173" s="101">
        <f t="shared" si="13"/>
        <v>-300</v>
      </c>
    </row>
    <row r="174" spans="1:10" ht="20.100000000000001" hidden="1" customHeight="1">
      <c r="A174" s="97"/>
      <c r="B174" s="102" t="s">
        <v>1060</v>
      </c>
      <c r="C174" s="103" t="s">
        <v>352</v>
      </c>
      <c r="D174" s="104">
        <v>30000000</v>
      </c>
      <c r="E174" s="104">
        <v>30000000</v>
      </c>
      <c r="F174" s="100">
        <f t="shared" si="15"/>
        <v>0</v>
      </c>
      <c r="G174" s="100">
        <f t="shared" si="15"/>
        <v>30000000</v>
      </c>
      <c r="H174" s="101" t="e">
        <f t="shared" si="13"/>
        <v>#VALUE!</v>
      </c>
      <c r="I174" s="101">
        <f t="shared" si="17"/>
        <v>-30000000</v>
      </c>
      <c r="J174" s="101">
        <f t="shared" si="13"/>
        <v>-100</v>
      </c>
    </row>
    <row r="175" spans="1:10" ht="20.100000000000001" hidden="1" customHeight="1">
      <c r="A175" s="97"/>
      <c r="B175" s="102" t="s">
        <v>1061</v>
      </c>
      <c r="C175" s="103" t="s">
        <v>151</v>
      </c>
      <c r="D175" s="104"/>
      <c r="E175" s="104">
        <v>6375000</v>
      </c>
      <c r="F175" s="100">
        <f t="shared" si="15"/>
        <v>-6375000</v>
      </c>
      <c r="G175" s="100">
        <f t="shared" si="15"/>
        <v>12750000</v>
      </c>
      <c r="H175" s="101" t="e">
        <f t="shared" si="13"/>
        <v>#VALUE!</v>
      </c>
      <c r="I175" s="101">
        <f t="shared" si="17"/>
        <v>-19125000</v>
      </c>
      <c r="J175" s="101">
        <f t="shared" si="13"/>
        <v>-300</v>
      </c>
    </row>
    <row r="176" spans="1:10" ht="20.100000000000001" hidden="1" customHeight="1">
      <c r="A176" s="97"/>
      <c r="B176" s="102" t="s">
        <v>1062</v>
      </c>
      <c r="C176" s="103" t="s">
        <v>153</v>
      </c>
      <c r="D176" s="104">
        <v>4091000</v>
      </c>
      <c r="E176" s="104">
        <v>4091000</v>
      </c>
      <c r="F176" s="100">
        <f t="shared" si="15"/>
        <v>0</v>
      </c>
      <c r="G176" s="100">
        <f t="shared" si="15"/>
        <v>4091000</v>
      </c>
      <c r="H176" s="101" t="e">
        <f t="shared" si="13"/>
        <v>#VALUE!</v>
      </c>
      <c r="I176" s="101">
        <f t="shared" si="17"/>
        <v>-4091000</v>
      </c>
      <c r="J176" s="101">
        <f t="shared" si="13"/>
        <v>-100</v>
      </c>
    </row>
    <row r="177" spans="1:10" ht="20.100000000000001" hidden="1" customHeight="1">
      <c r="A177" s="97"/>
      <c r="B177" s="102" t="s">
        <v>1063</v>
      </c>
      <c r="C177" s="103" t="s">
        <v>155</v>
      </c>
      <c r="D177" s="104">
        <v>2284000</v>
      </c>
      <c r="E177" s="104">
        <v>2284000</v>
      </c>
      <c r="F177" s="100">
        <f t="shared" si="15"/>
        <v>0</v>
      </c>
      <c r="G177" s="100">
        <f t="shared" si="15"/>
        <v>2284000</v>
      </c>
      <c r="H177" s="101" t="e">
        <f t="shared" si="13"/>
        <v>#VALUE!</v>
      </c>
      <c r="I177" s="101">
        <f t="shared" si="17"/>
        <v>-2284000</v>
      </c>
      <c r="J177" s="101">
        <f t="shared" si="13"/>
        <v>-100</v>
      </c>
    </row>
    <row r="178" spans="1:10" ht="20.100000000000001" hidden="1" customHeight="1">
      <c r="A178" s="97"/>
      <c r="B178" s="102" t="s">
        <v>1064</v>
      </c>
      <c r="C178" s="103" t="s">
        <v>193</v>
      </c>
      <c r="D178" s="104"/>
      <c r="E178" s="104">
        <v>27945000</v>
      </c>
      <c r="F178" s="100">
        <f t="shared" si="15"/>
        <v>-27945000</v>
      </c>
      <c r="G178" s="100">
        <f t="shared" si="15"/>
        <v>55890000</v>
      </c>
      <c r="H178" s="101" t="e">
        <f t="shared" si="13"/>
        <v>#VALUE!</v>
      </c>
      <c r="I178" s="101">
        <f t="shared" si="17"/>
        <v>-83835000</v>
      </c>
      <c r="J178" s="101">
        <f t="shared" si="13"/>
        <v>-300</v>
      </c>
    </row>
    <row r="179" spans="1:10" ht="20.100000000000001" hidden="1" customHeight="1">
      <c r="A179" s="97"/>
      <c r="B179" s="102" t="s">
        <v>1065</v>
      </c>
      <c r="C179" s="103" t="s">
        <v>312</v>
      </c>
      <c r="D179" s="104">
        <v>27945000</v>
      </c>
      <c r="E179" s="104">
        <v>27945000</v>
      </c>
      <c r="F179" s="100">
        <f t="shared" si="15"/>
        <v>0</v>
      </c>
      <c r="G179" s="100">
        <f t="shared" si="15"/>
        <v>27945000</v>
      </c>
      <c r="H179" s="101" t="e">
        <f t="shared" si="13"/>
        <v>#VALUE!</v>
      </c>
      <c r="I179" s="101">
        <f t="shared" si="17"/>
        <v>-27945000</v>
      </c>
      <c r="J179" s="101">
        <f t="shared" si="13"/>
        <v>-100</v>
      </c>
    </row>
    <row r="180" spans="1:10" ht="20.100000000000001" hidden="1" customHeight="1">
      <c r="A180" s="97"/>
      <c r="B180" s="102" t="s">
        <v>1066</v>
      </c>
      <c r="C180" s="103" t="s">
        <v>157</v>
      </c>
      <c r="D180" s="104"/>
      <c r="E180" s="104">
        <v>8800000</v>
      </c>
      <c r="F180" s="100">
        <f t="shared" si="15"/>
        <v>-8800000</v>
      </c>
      <c r="G180" s="100">
        <f t="shared" si="15"/>
        <v>17600000</v>
      </c>
      <c r="H180" s="101" t="e">
        <f t="shared" si="13"/>
        <v>#VALUE!</v>
      </c>
      <c r="I180" s="101">
        <f t="shared" si="17"/>
        <v>-26400000</v>
      </c>
      <c r="J180" s="101">
        <f t="shared" si="13"/>
        <v>-300</v>
      </c>
    </row>
    <row r="181" spans="1:10" ht="20.100000000000001" hidden="1" customHeight="1">
      <c r="A181" s="97"/>
      <c r="B181" s="102" t="s">
        <v>1067</v>
      </c>
      <c r="C181" s="103" t="s">
        <v>159</v>
      </c>
      <c r="D181" s="104">
        <v>8800000</v>
      </c>
      <c r="E181" s="104">
        <v>8800000</v>
      </c>
      <c r="F181" s="100">
        <f t="shared" si="15"/>
        <v>0</v>
      </c>
      <c r="G181" s="100">
        <f t="shared" si="15"/>
        <v>8800000</v>
      </c>
      <c r="H181" s="101" t="e">
        <f t="shared" si="13"/>
        <v>#VALUE!</v>
      </c>
      <c r="I181" s="101">
        <f t="shared" si="17"/>
        <v>-8800000</v>
      </c>
      <c r="J181" s="101">
        <f t="shared" si="13"/>
        <v>-100</v>
      </c>
    </row>
    <row r="182" spans="1:10" ht="20.100000000000001" hidden="1" customHeight="1">
      <c r="A182" s="97"/>
      <c r="B182" s="102" t="s">
        <v>1068</v>
      </c>
      <c r="C182" s="103" t="s">
        <v>402</v>
      </c>
      <c r="D182" s="104"/>
      <c r="E182" s="104">
        <v>36000000</v>
      </c>
      <c r="F182" s="100">
        <f t="shared" si="15"/>
        <v>-36000000</v>
      </c>
      <c r="G182" s="100">
        <f t="shared" si="15"/>
        <v>72000000</v>
      </c>
      <c r="H182" s="101" t="e">
        <f t="shared" si="13"/>
        <v>#VALUE!</v>
      </c>
      <c r="I182" s="101">
        <f t="shared" si="17"/>
        <v>-108000000</v>
      </c>
      <c r="J182" s="101">
        <f t="shared" si="13"/>
        <v>-300</v>
      </c>
    </row>
    <row r="183" spans="1:10" ht="20.100000000000001" hidden="1" customHeight="1">
      <c r="A183" s="97"/>
      <c r="B183" s="102" t="s">
        <v>1069</v>
      </c>
      <c r="C183" s="103" t="s">
        <v>404</v>
      </c>
      <c r="D183" s="104">
        <v>36000000</v>
      </c>
      <c r="E183" s="104">
        <v>36000000</v>
      </c>
      <c r="F183" s="100">
        <f t="shared" si="15"/>
        <v>0</v>
      </c>
      <c r="G183" s="100">
        <f t="shared" si="15"/>
        <v>36000000</v>
      </c>
      <c r="H183" s="101" t="e">
        <f t="shared" si="13"/>
        <v>#VALUE!</v>
      </c>
      <c r="I183" s="101">
        <f t="shared" si="17"/>
        <v>-36000000</v>
      </c>
      <c r="J183" s="101">
        <f t="shared" si="13"/>
        <v>-100</v>
      </c>
    </row>
    <row r="184" spans="1:10" ht="20.100000000000001" customHeight="1">
      <c r="A184" s="111">
        <v>14</v>
      </c>
      <c r="B184" s="193" t="s">
        <v>1070</v>
      </c>
      <c r="C184" s="195" t="s">
        <v>406</v>
      </c>
      <c r="D184" s="197">
        <f>D188</f>
        <v>202000000</v>
      </c>
      <c r="E184" s="197">
        <f>'rekap REALISASI REKO '!AB221</f>
        <v>500000000</v>
      </c>
      <c r="F184" s="197">
        <f>D184-E184</f>
        <v>-298000000</v>
      </c>
      <c r="G184" s="216">
        <v>21978000</v>
      </c>
      <c r="H184" s="214">
        <f>G184/E184*100</f>
        <v>4.3956</v>
      </c>
      <c r="I184" s="214">
        <f>E184-G184</f>
        <v>478022000</v>
      </c>
      <c r="J184" s="214">
        <f>I184/E184*100</f>
        <v>95.604399999999998</v>
      </c>
    </row>
    <row r="185" spans="1:10" ht="6.75" customHeight="1">
      <c r="A185" s="112"/>
      <c r="B185" s="194"/>
      <c r="C185" s="196"/>
      <c r="D185" s="198"/>
      <c r="E185" s="198"/>
      <c r="F185" s="198"/>
      <c r="G185" s="217"/>
      <c r="H185" s="215"/>
      <c r="I185" s="215"/>
      <c r="J185" s="215"/>
    </row>
    <row r="186" spans="1:10" ht="20.100000000000001" hidden="1" customHeight="1">
      <c r="A186" s="97"/>
      <c r="B186" s="102" t="s">
        <v>1071</v>
      </c>
      <c r="C186" s="103" t="s">
        <v>270</v>
      </c>
      <c r="D186" s="104"/>
      <c r="E186" s="104">
        <v>202000000</v>
      </c>
      <c r="F186" s="100">
        <f t="shared" si="15"/>
        <v>-202000000</v>
      </c>
      <c r="G186" s="100">
        <f t="shared" si="15"/>
        <v>404000000</v>
      </c>
      <c r="H186" s="101" t="e">
        <f t="shared" si="13"/>
        <v>#VALUE!</v>
      </c>
      <c r="I186" s="101">
        <f>F186-G186</f>
        <v>-606000000</v>
      </c>
      <c r="J186" s="101">
        <f t="shared" si="13"/>
        <v>-300</v>
      </c>
    </row>
    <row r="187" spans="1:10" ht="20.100000000000001" hidden="1" customHeight="1">
      <c r="A187" s="97"/>
      <c r="B187" s="102" t="s">
        <v>1072</v>
      </c>
      <c r="C187" s="103" t="s">
        <v>272</v>
      </c>
      <c r="D187" s="104"/>
      <c r="E187" s="104">
        <v>202000000</v>
      </c>
      <c r="F187" s="100">
        <f t="shared" si="15"/>
        <v>-202000000</v>
      </c>
      <c r="G187" s="100">
        <f t="shared" si="15"/>
        <v>404000000</v>
      </c>
      <c r="H187" s="101" t="e">
        <f t="shared" si="13"/>
        <v>#VALUE!</v>
      </c>
      <c r="I187" s="101">
        <f>F187-G187</f>
        <v>-606000000</v>
      </c>
      <c r="J187" s="101">
        <f t="shared" si="13"/>
        <v>-300</v>
      </c>
    </row>
    <row r="188" spans="1:10" ht="20.100000000000001" hidden="1" customHeight="1">
      <c r="A188" s="97"/>
      <c r="B188" s="102" t="s">
        <v>1073</v>
      </c>
      <c r="C188" s="103" t="s">
        <v>274</v>
      </c>
      <c r="D188" s="104">
        <v>202000000</v>
      </c>
      <c r="E188" s="104">
        <v>202000000</v>
      </c>
      <c r="F188" s="100">
        <f t="shared" si="15"/>
        <v>0</v>
      </c>
      <c r="G188" s="100">
        <f t="shared" si="15"/>
        <v>202000000</v>
      </c>
      <c r="H188" s="101" t="e">
        <f t="shared" si="13"/>
        <v>#VALUE!</v>
      </c>
      <c r="I188" s="101">
        <f>F188-G188</f>
        <v>-202000000</v>
      </c>
      <c r="J188" s="101">
        <f t="shared" si="13"/>
        <v>-100</v>
      </c>
    </row>
    <row r="189" spans="1:10" ht="20.100000000000001" customHeight="1">
      <c r="A189" s="111">
        <v>15</v>
      </c>
      <c r="B189" s="193" t="s">
        <v>1074</v>
      </c>
      <c r="C189" s="195" t="s">
        <v>435</v>
      </c>
      <c r="D189" s="197">
        <f>SUM(D191:D210)</f>
        <v>391445000</v>
      </c>
      <c r="E189" s="197">
        <f>'rekap REALISASI REKO '!AB248</f>
        <v>150000000</v>
      </c>
      <c r="F189" s="197">
        <f>D189-E189</f>
        <v>241445000</v>
      </c>
      <c r="G189" s="216">
        <f>'rekap REALISASI REKO '!AQ248</f>
        <v>87266175</v>
      </c>
      <c r="H189" s="214">
        <f>G189/E189*100</f>
        <v>58.17745</v>
      </c>
      <c r="I189" s="214">
        <f>E189-G189</f>
        <v>62733825</v>
      </c>
      <c r="J189" s="214">
        <f>I189/E189*100</f>
        <v>41.82255</v>
      </c>
    </row>
    <row r="190" spans="1:10" ht="6" customHeight="1">
      <c r="A190" s="112"/>
      <c r="B190" s="194"/>
      <c r="C190" s="196"/>
      <c r="D190" s="198"/>
      <c r="E190" s="198"/>
      <c r="F190" s="198"/>
      <c r="G190" s="217"/>
      <c r="H190" s="215"/>
      <c r="I190" s="215"/>
      <c r="J190" s="215"/>
    </row>
    <row r="191" spans="1:10" ht="20.100000000000001" hidden="1" customHeight="1">
      <c r="A191" s="97"/>
      <c r="B191" s="102" t="s">
        <v>1075</v>
      </c>
      <c r="C191" s="103" t="s">
        <v>10</v>
      </c>
      <c r="D191" s="104"/>
      <c r="E191" s="104">
        <v>4350000</v>
      </c>
      <c r="F191" s="100">
        <f t="shared" si="15"/>
        <v>-4350000</v>
      </c>
      <c r="G191" s="100">
        <f t="shared" si="15"/>
        <v>8700000</v>
      </c>
      <c r="H191" s="101" t="e">
        <f t="shared" si="13"/>
        <v>#VALUE!</v>
      </c>
      <c r="I191" s="101">
        <f t="shared" ref="I191:I210" si="18">F191-G191</f>
        <v>-13050000</v>
      </c>
      <c r="J191" s="101">
        <f t="shared" si="13"/>
        <v>-300</v>
      </c>
    </row>
    <row r="192" spans="1:10" ht="20.100000000000001" hidden="1" customHeight="1">
      <c r="A192" s="97"/>
      <c r="B192" s="102" t="s">
        <v>1076</v>
      </c>
      <c r="C192" s="103" t="s">
        <v>177</v>
      </c>
      <c r="D192" s="104"/>
      <c r="E192" s="104">
        <v>4350000</v>
      </c>
      <c r="F192" s="100">
        <f t="shared" si="15"/>
        <v>-4350000</v>
      </c>
      <c r="G192" s="100">
        <f t="shared" si="15"/>
        <v>8700000</v>
      </c>
      <c r="H192" s="101" t="e">
        <f t="shared" si="13"/>
        <v>#VALUE!</v>
      </c>
      <c r="I192" s="101">
        <f t="shared" si="18"/>
        <v>-13050000</v>
      </c>
      <c r="J192" s="101">
        <f t="shared" si="13"/>
        <v>-300</v>
      </c>
    </row>
    <row r="193" spans="1:10" ht="20.100000000000001" hidden="1" customHeight="1">
      <c r="A193" s="97"/>
      <c r="B193" s="102" t="s">
        <v>1077</v>
      </c>
      <c r="C193" s="103" t="s">
        <v>283</v>
      </c>
      <c r="D193" s="104">
        <v>3680000</v>
      </c>
      <c r="E193" s="104">
        <v>3680000</v>
      </c>
      <c r="F193" s="100">
        <f t="shared" si="15"/>
        <v>0</v>
      </c>
      <c r="G193" s="100">
        <f t="shared" si="15"/>
        <v>3680000</v>
      </c>
      <c r="H193" s="101" t="e">
        <f t="shared" si="13"/>
        <v>#VALUE!</v>
      </c>
      <c r="I193" s="101">
        <f t="shared" si="18"/>
        <v>-3680000</v>
      </c>
      <c r="J193" s="101">
        <f t="shared" si="13"/>
        <v>-100</v>
      </c>
    </row>
    <row r="194" spans="1:10" ht="20.100000000000001" hidden="1" customHeight="1">
      <c r="A194" s="97"/>
      <c r="B194" s="102" t="s">
        <v>1078</v>
      </c>
      <c r="C194" s="103" t="s">
        <v>384</v>
      </c>
      <c r="D194" s="104">
        <v>670000</v>
      </c>
      <c r="E194" s="104">
        <v>670000</v>
      </c>
      <c r="F194" s="100">
        <f t="shared" si="15"/>
        <v>0</v>
      </c>
      <c r="G194" s="100">
        <f t="shared" si="15"/>
        <v>670000</v>
      </c>
      <c r="H194" s="101" t="e">
        <f t="shared" si="13"/>
        <v>#VALUE!</v>
      </c>
      <c r="I194" s="101">
        <f t="shared" si="18"/>
        <v>-670000</v>
      </c>
      <c r="J194" s="101">
        <f t="shared" si="13"/>
        <v>-100</v>
      </c>
    </row>
    <row r="195" spans="1:10" ht="20.100000000000001" hidden="1" customHeight="1">
      <c r="A195" s="97"/>
      <c r="B195" s="102" t="s">
        <v>1079</v>
      </c>
      <c r="C195" s="103" t="s">
        <v>143</v>
      </c>
      <c r="D195" s="104"/>
      <c r="E195" s="104">
        <v>387095000</v>
      </c>
      <c r="F195" s="100">
        <f t="shared" si="15"/>
        <v>-387095000</v>
      </c>
      <c r="G195" s="100">
        <f t="shared" si="15"/>
        <v>774190000</v>
      </c>
      <c r="H195" s="101" t="e">
        <f t="shared" si="13"/>
        <v>#VALUE!</v>
      </c>
      <c r="I195" s="101">
        <f t="shared" si="18"/>
        <v>-1161285000</v>
      </c>
      <c r="J195" s="101">
        <f t="shared" si="13"/>
        <v>-300</v>
      </c>
    </row>
    <row r="196" spans="1:10" ht="20.100000000000001" hidden="1" customHeight="1">
      <c r="A196" s="97"/>
      <c r="B196" s="102" t="s">
        <v>1080</v>
      </c>
      <c r="C196" s="103" t="s">
        <v>145</v>
      </c>
      <c r="D196" s="104"/>
      <c r="E196" s="104">
        <v>2888000</v>
      </c>
      <c r="F196" s="100">
        <f t="shared" si="15"/>
        <v>-2888000</v>
      </c>
      <c r="G196" s="100">
        <f t="shared" si="15"/>
        <v>5776000</v>
      </c>
      <c r="H196" s="101" t="e">
        <f t="shared" si="13"/>
        <v>#VALUE!</v>
      </c>
      <c r="I196" s="101">
        <f t="shared" si="18"/>
        <v>-8664000</v>
      </c>
      <c r="J196" s="101">
        <f t="shared" si="13"/>
        <v>-300</v>
      </c>
    </row>
    <row r="197" spans="1:10" ht="20.100000000000001" hidden="1" customHeight="1">
      <c r="A197" s="97"/>
      <c r="B197" s="102" t="s">
        <v>1081</v>
      </c>
      <c r="C197" s="103" t="s">
        <v>147</v>
      </c>
      <c r="D197" s="104">
        <v>2888000</v>
      </c>
      <c r="E197" s="104">
        <v>2888000</v>
      </c>
      <c r="F197" s="100">
        <f t="shared" si="15"/>
        <v>0</v>
      </c>
      <c r="G197" s="100">
        <f t="shared" si="15"/>
        <v>2888000</v>
      </c>
      <c r="H197" s="101" t="e">
        <f t="shared" si="13"/>
        <v>#VALUE!</v>
      </c>
      <c r="I197" s="101">
        <f t="shared" si="18"/>
        <v>-2888000</v>
      </c>
      <c r="J197" s="101">
        <f t="shared" si="13"/>
        <v>-100</v>
      </c>
    </row>
    <row r="198" spans="1:10" ht="20.100000000000001" hidden="1" customHeight="1">
      <c r="A198" s="97"/>
      <c r="B198" s="102" t="s">
        <v>1082</v>
      </c>
      <c r="C198" s="103" t="s">
        <v>389</v>
      </c>
      <c r="D198" s="104"/>
      <c r="E198" s="104">
        <v>30429000</v>
      </c>
      <c r="F198" s="100">
        <f t="shared" si="15"/>
        <v>-30429000</v>
      </c>
      <c r="G198" s="100">
        <f t="shared" si="15"/>
        <v>60858000</v>
      </c>
      <c r="H198" s="101" t="e">
        <f t="shared" si="13"/>
        <v>#VALUE!</v>
      </c>
      <c r="I198" s="101">
        <f t="shared" si="18"/>
        <v>-91287000</v>
      </c>
      <c r="J198" s="101">
        <f t="shared" si="13"/>
        <v>-300</v>
      </c>
    </row>
    <row r="199" spans="1:10" ht="20.100000000000001" hidden="1" customHeight="1">
      <c r="A199" s="97"/>
      <c r="B199" s="102" t="s">
        <v>1083</v>
      </c>
      <c r="C199" s="103" t="s">
        <v>1084</v>
      </c>
      <c r="D199" s="104">
        <v>30429000</v>
      </c>
      <c r="E199" s="104">
        <v>30429000</v>
      </c>
      <c r="F199" s="100">
        <f t="shared" si="15"/>
        <v>0</v>
      </c>
      <c r="G199" s="100">
        <f t="shared" si="15"/>
        <v>30429000</v>
      </c>
      <c r="H199" s="101" t="e">
        <f t="shared" si="13"/>
        <v>#VALUE!</v>
      </c>
      <c r="I199" s="101">
        <f t="shared" si="18"/>
        <v>-30429000</v>
      </c>
      <c r="J199" s="101">
        <f t="shared" si="13"/>
        <v>-100</v>
      </c>
    </row>
    <row r="200" spans="1:10" ht="20.100000000000001" hidden="1" customHeight="1">
      <c r="A200" s="97"/>
      <c r="B200" s="102" t="s">
        <v>1085</v>
      </c>
      <c r="C200" s="103" t="s">
        <v>163</v>
      </c>
      <c r="D200" s="104"/>
      <c r="E200" s="104">
        <v>152000000</v>
      </c>
      <c r="F200" s="100">
        <f t="shared" si="15"/>
        <v>-152000000</v>
      </c>
      <c r="G200" s="100">
        <f t="shared" si="15"/>
        <v>304000000</v>
      </c>
      <c r="H200" s="101" t="e">
        <f t="shared" si="13"/>
        <v>#VALUE!</v>
      </c>
      <c r="I200" s="101">
        <f t="shared" si="18"/>
        <v>-456000000</v>
      </c>
      <c r="J200" s="101">
        <f t="shared" si="13"/>
        <v>-300</v>
      </c>
    </row>
    <row r="201" spans="1:10" ht="20.100000000000001" hidden="1" customHeight="1">
      <c r="A201" s="97"/>
      <c r="B201" s="102" t="s">
        <v>1086</v>
      </c>
      <c r="C201" s="103" t="s">
        <v>352</v>
      </c>
      <c r="D201" s="104">
        <v>152000000</v>
      </c>
      <c r="E201" s="104">
        <v>152000000</v>
      </c>
      <c r="F201" s="100">
        <f t="shared" si="15"/>
        <v>0</v>
      </c>
      <c r="G201" s="100">
        <f t="shared" si="15"/>
        <v>152000000</v>
      </c>
      <c r="H201" s="101" t="e">
        <f t="shared" si="13"/>
        <v>#VALUE!</v>
      </c>
      <c r="I201" s="101">
        <f t="shared" si="18"/>
        <v>-152000000</v>
      </c>
      <c r="J201" s="101">
        <f t="shared" si="13"/>
        <v>-100</v>
      </c>
    </row>
    <row r="202" spans="1:10" ht="20.100000000000001" hidden="1" customHeight="1">
      <c r="A202" s="97"/>
      <c r="B202" s="102" t="s">
        <v>1087</v>
      </c>
      <c r="C202" s="103" t="s">
        <v>151</v>
      </c>
      <c r="D202" s="104"/>
      <c r="E202" s="104">
        <v>3578000</v>
      </c>
      <c r="F202" s="100">
        <f t="shared" si="15"/>
        <v>-3578000</v>
      </c>
      <c r="G202" s="100">
        <f t="shared" si="15"/>
        <v>7156000</v>
      </c>
      <c r="H202" s="101" t="e">
        <f t="shared" ref="H202:J265" si="19">G202/C202*100</f>
        <v>#VALUE!</v>
      </c>
      <c r="I202" s="101">
        <f t="shared" si="18"/>
        <v>-10734000</v>
      </c>
      <c r="J202" s="101">
        <f t="shared" si="19"/>
        <v>-300</v>
      </c>
    </row>
    <row r="203" spans="1:10" ht="20.100000000000001" hidden="1" customHeight="1">
      <c r="A203" s="97"/>
      <c r="B203" s="102" t="s">
        <v>1088</v>
      </c>
      <c r="C203" s="103" t="s">
        <v>155</v>
      </c>
      <c r="D203" s="104">
        <v>3578000</v>
      </c>
      <c r="E203" s="104">
        <v>3578000</v>
      </c>
      <c r="F203" s="100">
        <f t="shared" ref="F203:G266" si="20">D203-E203</f>
        <v>0</v>
      </c>
      <c r="G203" s="100">
        <f t="shared" si="20"/>
        <v>3578000</v>
      </c>
      <c r="H203" s="101" t="e">
        <f t="shared" si="19"/>
        <v>#VALUE!</v>
      </c>
      <c r="I203" s="101">
        <f t="shared" si="18"/>
        <v>-3578000</v>
      </c>
      <c r="J203" s="101">
        <f t="shared" si="19"/>
        <v>-100</v>
      </c>
    </row>
    <row r="204" spans="1:10" ht="20.100000000000001" hidden="1" customHeight="1">
      <c r="A204" s="97"/>
      <c r="B204" s="102" t="s">
        <v>1089</v>
      </c>
      <c r="C204" s="103" t="s">
        <v>193</v>
      </c>
      <c r="D204" s="104"/>
      <c r="E204" s="104">
        <v>32400000</v>
      </c>
      <c r="F204" s="100">
        <f t="shared" si="20"/>
        <v>-32400000</v>
      </c>
      <c r="G204" s="100">
        <f t="shared" si="20"/>
        <v>64800000</v>
      </c>
      <c r="H204" s="101" t="e">
        <f t="shared" si="19"/>
        <v>#VALUE!</v>
      </c>
      <c r="I204" s="101">
        <f t="shared" si="18"/>
        <v>-97200000</v>
      </c>
      <c r="J204" s="101">
        <f t="shared" si="19"/>
        <v>-300</v>
      </c>
    </row>
    <row r="205" spans="1:10" ht="20.100000000000001" hidden="1" customHeight="1">
      <c r="A205" s="97"/>
      <c r="B205" s="102" t="s">
        <v>1090</v>
      </c>
      <c r="C205" s="103" t="s">
        <v>312</v>
      </c>
      <c r="D205" s="104">
        <v>32400000</v>
      </c>
      <c r="E205" s="104">
        <v>32400000</v>
      </c>
      <c r="F205" s="100">
        <f t="shared" si="20"/>
        <v>0</v>
      </c>
      <c r="G205" s="100">
        <f t="shared" si="20"/>
        <v>32400000</v>
      </c>
      <c r="H205" s="101" t="e">
        <f t="shared" si="19"/>
        <v>#VALUE!</v>
      </c>
      <c r="I205" s="101">
        <f t="shared" si="18"/>
        <v>-32400000</v>
      </c>
      <c r="J205" s="101">
        <f t="shared" si="19"/>
        <v>-100</v>
      </c>
    </row>
    <row r="206" spans="1:10" ht="20.100000000000001" hidden="1" customHeight="1">
      <c r="A206" s="97"/>
      <c r="B206" s="102" t="s">
        <v>1091</v>
      </c>
      <c r="C206" s="103" t="s">
        <v>157</v>
      </c>
      <c r="D206" s="104"/>
      <c r="E206" s="104">
        <v>12200000</v>
      </c>
      <c r="F206" s="100">
        <f t="shared" si="20"/>
        <v>-12200000</v>
      </c>
      <c r="G206" s="100">
        <f t="shared" si="20"/>
        <v>24400000</v>
      </c>
      <c r="H206" s="101" t="e">
        <f t="shared" si="19"/>
        <v>#VALUE!</v>
      </c>
      <c r="I206" s="101">
        <f t="shared" si="18"/>
        <v>-36600000</v>
      </c>
      <c r="J206" s="101">
        <f t="shared" si="19"/>
        <v>-300</v>
      </c>
    </row>
    <row r="207" spans="1:10" ht="20.100000000000001" hidden="1" customHeight="1">
      <c r="A207" s="97"/>
      <c r="B207" s="102" t="s">
        <v>1092</v>
      </c>
      <c r="C207" s="103" t="s">
        <v>159</v>
      </c>
      <c r="D207" s="104">
        <v>7850000</v>
      </c>
      <c r="E207" s="104">
        <v>7850000</v>
      </c>
      <c r="F207" s="100">
        <f t="shared" si="20"/>
        <v>0</v>
      </c>
      <c r="G207" s="100">
        <f t="shared" si="20"/>
        <v>7850000</v>
      </c>
      <c r="H207" s="101" t="e">
        <f t="shared" si="19"/>
        <v>#VALUE!</v>
      </c>
      <c r="I207" s="101">
        <f t="shared" si="18"/>
        <v>-7850000</v>
      </c>
      <c r="J207" s="101">
        <f t="shared" si="19"/>
        <v>-100</v>
      </c>
    </row>
    <row r="208" spans="1:10" ht="20.100000000000001" hidden="1" customHeight="1">
      <c r="A208" s="97"/>
      <c r="B208" s="102" t="s">
        <v>1093</v>
      </c>
      <c r="C208" s="103" t="s">
        <v>207</v>
      </c>
      <c r="D208" s="104">
        <v>4350000</v>
      </c>
      <c r="E208" s="104">
        <v>4350000</v>
      </c>
      <c r="F208" s="100">
        <f t="shared" si="20"/>
        <v>0</v>
      </c>
      <c r="G208" s="100">
        <f t="shared" si="20"/>
        <v>4350000</v>
      </c>
      <c r="H208" s="101" t="e">
        <f t="shared" si="19"/>
        <v>#VALUE!</v>
      </c>
      <c r="I208" s="101">
        <f t="shared" si="18"/>
        <v>-4350000</v>
      </c>
      <c r="J208" s="101">
        <f t="shared" si="19"/>
        <v>-100</v>
      </c>
    </row>
    <row r="209" spans="1:10" ht="20.100000000000001" hidden="1" customHeight="1">
      <c r="A209" s="97"/>
      <c r="B209" s="102" t="s">
        <v>1094</v>
      </c>
      <c r="C209" s="103" t="s">
        <v>402</v>
      </c>
      <c r="D209" s="104"/>
      <c r="E209" s="104">
        <v>153600000</v>
      </c>
      <c r="F209" s="100">
        <f t="shared" si="20"/>
        <v>-153600000</v>
      </c>
      <c r="G209" s="100">
        <f t="shared" si="20"/>
        <v>307200000</v>
      </c>
      <c r="H209" s="101" t="e">
        <f t="shared" si="19"/>
        <v>#VALUE!</v>
      </c>
      <c r="I209" s="101">
        <f t="shared" si="18"/>
        <v>-460800000</v>
      </c>
      <c r="J209" s="101">
        <f t="shared" si="19"/>
        <v>-300</v>
      </c>
    </row>
    <row r="210" spans="1:10" ht="20.100000000000001" hidden="1" customHeight="1">
      <c r="A210" s="97"/>
      <c r="B210" s="102" t="s">
        <v>1095</v>
      </c>
      <c r="C210" s="103" t="s">
        <v>404</v>
      </c>
      <c r="D210" s="104">
        <v>153600000</v>
      </c>
      <c r="E210" s="104">
        <v>153600000</v>
      </c>
      <c r="F210" s="100">
        <f t="shared" si="20"/>
        <v>0</v>
      </c>
      <c r="G210" s="100">
        <f t="shared" si="20"/>
        <v>153600000</v>
      </c>
      <c r="H210" s="101" t="e">
        <f t="shared" si="19"/>
        <v>#VALUE!</v>
      </c>
      <c r="I210" s="101">
        <f t="shared" si="18"/>
        <v>-153600000</v>
      </c>
      <c r="J210" s="101">
        <f t="shared" si="19"/>
        <v>-100</v>
      </c>
    </row>
    <row r="211" spans="1:10" ht="20.100000000000001" customHeight="1">
      <c r="A211" s="105" t="s">
        <v>363</v>
      </c>
      <c r="B211" s="106" t="s">
        <v>1096</v>
      </c>
      <c r="C211" s="107" t="s">
        <v>6</v>
      </c>
      <c r="D211" s="108">
        <f>D212+D231+D251+D274+D298+D322</f>
        <v>1242968000</v>
      </c>
      <c r="E211" s="108">
        <f>E212+E231+E251+E274+E298+E322</f>
        <v>1059675000</v>
      </c>
      <c r="F211" s="109">
        <f t="shared" si="20"/>
        <v>183293000</v>
      </c>
      <c r="G211" s="109">
        <f>G212+G231+G251+G274+G298+G322</f>
        <v>853261225</v>
      </c>
      <c r="H211" s="110">
        <f>G211/E211*100</f>
        <v>80.521030032793078</v>
      </c>
      <c r="I211" s="109">
        <f>I212+I231+I251+I274+I298+I322</f>
        <v>206413775</v>
      </c>
      <c r="J211" s="110">
        <f t="shared" si="19"/>
        <v>19.478969967206929</v>
      </c>
    </row>
    <row r="212" spans="1:10" ht="20.100000000000001" customHeight="1">
      <c r="A212" s="111">
        <v>16</v>
      </c>
      <c r="B212" s="193" t="s">
        <v>1097</v>
      </c>
      <c r="C212" s="195" t="s">
        <v>483</v>
      </c>
      <c r="D212" s="197">
        <f>SUM(D216:D230)</f>
        <v>38322000</v>
      </c>
      <c r="E212" s="197">
        <f>'rekap REALISASI REKO '!AB291</f>
        <v>35116000</v>
      </c>
      <c r="F212" s="197">
        <f>D212-E212</f>
        <v>3206000</v>
      </c>
      <c r="G212" s="216">
        <f>'rekap REALISASI REKO '!AQ291</f>
        <v>16771000</v>
      </c>
      <c r="H212" s="214">
        <f>G212/E212*100</f>
        <v>47.758856361772409</v>
      </c>
      <c r="I212" s="214">
        <f>E212-G212</f>
        <v>18345000</v>
      </c>
      <c r="J212" s="214">
        <f>I212/E212*100</f>
        <v>52.241143638227591</v>
      </c>
    </row>
    <row r="213" spans="1:10" ht="5.25" customHeight="1">
      <c r="A213" s="112"/>
      <c r="B213" s="194"/>
      <c r="C213" s="196"/>
      <c r="D213" s="198"/>
      <c r="E213" s="198"/>
      <c r="F213" s="198"/>
      <c r="G213" s="217"/>
      <c r="H213" s="215"/>
      <c r="I213" s="215"/>
      <c r="J213" s="215"/>
    </row>
    <row r="214" spans="1:10" ht="20.100000000000001" hidden="1" customHeight="1">
      <c r="A214" s="97"/>
      <c r="B214" s="102" t="s">
        <v>1098</v>
      </c>
      <c r="C214" s="103" t="s">
        <v>10</v>
      </c>
      <c r="D214" s="104"/>
      <c r="E214" s="104">
        <v>1040000</v>
      </c>
      <c r="F214" s="100">
        <f t="shared" si="20"/>
        <v>-1040000</v>
      </c>
      <c r="G214" s="100">
        <f t="shared" si="20"/>
        <v>2080000</v>
      </c>
      <c r="H214" s="101" t="e">
        <f t="shared" si="19"/>
        <v>#VALUE!</v>
      </c>
      <c r="I214" s="101">
        <f t="shared" ref="I214:I230" si="21">F214-G214</f>
        <v>-3120000</v>
      </c>
      <c r="J214" s="101">
        <f t="shared" si="19"/>
        <v>-300</v>
      </c>
    </row>
    <row r="215" spans="1:10" ht="20.100000000000001" hidden="1" customHeight="1">
      <c r="A215" s="97"/>
      <c r="B215" s="102" t="s">
        <v>1099</v>
      </c>
      <c r="C215" s="103" t="s">
        <v>177</v>
      </c>
      <c r="D215" s="104"/>
      <c r="E215" s="104">
        <v>1040000</v>
      </c>
      <c r="F215" s="100">
        <f t="shared" si="20"/>
        <v>-1040000</v>
      </c>
      <c r="G215" s="100">
        <f t="shared" si="20"/>
        <v>2080000</v>
      </c>
      <c r="H215" s="101" t="e">
        <f t="shared" si="19"/>
        <v>#VALUE!</v>
      </c>
      <c r="I215" s="101">
        <f t="shared" si="21"/>
        <v>-3120000</v>
      </c>
      <c r="J215" s="101">
        <f t="shared" si="19"/>
        <v>-300</v>
      </c>
    </row>
    <row r="216" spans="1:10" ht="20.100000000000001" hidden="1" customHeight="1">
      <c r="A216" s="97"/>
      <c r="B216" s="102" t="s">
        <v>1100</v>
      </c>
      <c r="C216" s="103" t="s">
        <v>283</v>
      </c>
      <c r="D216" s="104">
        <v>1040000</v>
      </c>
      <c r="E216" s="104">
        <v>1040000</v>
      </c>
      <c r="F216" s="100">
        <f t="shared" si="20"/>
        <v>0</v>
      </c>
      <c r="G216" s="100">
        <f t="shared" si="20"/>
        <v>1040000</v>
      </c>
      <c r="H216" s="101" t="e">
        <f t="shared" si="19"/>
        <v>#VALUE!</v>
      </c>
      <c r="I216" s="101">
        <f t="shared" si="21"/>
        <v>-1040000</v>
      </c>
      <c r="J216" s="101">
        <f t="shared" si="19"/>
        <v>-100</v>
      </c>
    </row>
    <row r="217" spans="1:10" ht="20.100000000000001" hidden="1" customHeight="1">
      <c r="A217" s="97"/>
      <c r="B217" s="102" t="s">
        <v>1101</v>
      </c>
      <c r="C217" s="103" t="s">
        <v>143</v>
      </c>
      <c r="D217" s="104"/>
      <c r="E217" s="104">
        <v>37282000</v>
      </c>
      <c r="F217" s="100">
        <f t="shared" si="20"/>
        <v>-37282000</v>
      </c>
      <c r="G217" s="100">
        <f t="shared" si="20"/>
        <v>74564000</v>
      </c>
      <c r="H217" s="101" t="e">
        <f t="shared" si="19"/>
        <v>#VALUE!</v>
      </c>
      <c r="I217" s="101">
        <f t="shared" si="21"/>
        <v>-111846000</v>
      </c>
      <c r="J217" s="101">
        <f t="shared" si="19"/>
        <v>-300</v>
      </c>
    </row>
    <row r="218" spans="1:10" ht="20.100000000000001" hidden="1" customHeight="1">
      <c r="A218" s="97"/>
      <c r="B218" s="102" t="s">
        <v>1102</v>
      </c>
      <c r="C218" s="103" t="s">
        <v>145</v>
      </c>
      <c r="D218" s="104"/>
      <c r="E218" s="104">
        <v>2160000</v>
      </c>
      <c r="F218" s="100">
        <f t="shared" si="20"/>
        <v>-2160000</v>
      </c>
      <c r="G218" s="100">
        <f t="shared" si="20"/>
        <v>4320000</v>
      </c>
      <c r="H218" s="101" t="e">
        <f t="shared" si="19"/>
        <v>#VALUE!</v>
      </c>
      <c r="I218" s="101">
        <f t="shared" si="21"/>
        <v>-6480000</v>
      </c>
      <c r="J218" s="101">
        <f t="shared" si="19"/>
        <v>-300</v>
      </c>
    </row>
    <row r="219" spans="1:10" ht="20.100000000000001" hidden="1" customHeight="1">
      <c r="A219" s="97"/>
      <c r="B219" s="102" t="s">
        <v>1103</v>
      </c>
      <c r="C219" s="103" t="s">
        <v>147</v>
      </c>
      <c r="D219" s="104">
        <v>2160000</v>
      </c>
      <c r="E219" s="104">
        <v>2160000</v>
      </c>
      <c r="F219" s="100">
        <f t="shared" si="20"/>
        <v>0</v>
      </c>
      <c r="G219" s="100">
        <f t="shared" si="20"/>
        <v>2160000</v>
      </c>
      <c r="H219" s="101" t="e">
        <f t="shared" si="19"/>
        <v>#VALUE!</v>
      </c>
      <c r="I219" s="101">
        <f t="shared" si="21"/>
        <v>-2160000</v>
      </c>
      <c r="J219" s="101">
        <f t="shared" si="19"/>
        <v>-100</v>
      </c>
    </row>
    <row r="220" spans="1:10" ht="20.100000000000001" hidden="1" customHeight="1">
      <c r="A220" s="97"/>
      <c r="B220" s="102" t="s">
        <v>1104</v>
      </c>
      <c r="C220" s="103" t="s">
        <v>163</v>
      </c>
      <c r="D220" s="104"/>
      <c r="E220" s="104">
        <v>8400000</v>
      </c>
      <c r="F220" s="100">
        <f t="shared" si="20"/>
        <v>-8400000</v>
      </c>
      <c r="G220" s="100">
        <f t="shared" si="20"/>
        <v>16800000</v>
      </c>
      <c r="H220" s="101" t="e">
        <f t="shared" si="19"/>
        <v>#VALUE!</v>
      </c>
      <c r="I220" s="101">
        <f t="shared" si="21"/>
        <v>-25200000</v>
      </c>
      <c r="J220" s="101">
        <f t="shared" si="19"/>
        <v>-300</v>
      </c>
    </row>
    <row r="221" spans="1:10" ht="20.100000000000001" hidden="1" customHeight="1">
      <c r="A221" s="97"/>
      <c r="B221" s="102" t="s">
        <v>1105</v>
      </c>
      <c r="C221" s="103" t="s">
        <v>352</v>
      </c>
      <c r="D221" s="104">
        <v>8400000</v>
      </c>
      <c r="E221" s="104">
        <v>8400000</v>
      </c>
      <c r="F221" s="100">
        <f t="shared" si="20"/>
        <v>0</v>
      </c>
      <c r="G221" s="100">
        <f t="shared" si="20"/>
        <v>8400000</v>
      </c>
      <c r="H221" s="101" t="e">
        <f t="shared" si="19"/>
        <v>#VALUE!</v>
      </c>
      <c r="I221" s="101">
        <f t="shared" si="21"/>
        <v>-8400000</v>
      </c>
      <c r="J221" s="101">
        <f t="shared" si="19"/>
        <v>-100</v>
      </c>
    </row>
    <row r="222" spans="1:10" ht="20.100000000000001" hidden="1" customHeight="1">
      <c r="A222" s="97"/>
      <c r="B222" s="102" t="s">
        <v>1106</v>
      </c>
      <c r="C222" s="103" t="s">
        <v>151</v>
      </c>
      <c r="D222" s="104"/>
      <c r="E222" s="104">
        <v>951000</v>
      </c>
      <c r="F222" s="100">
        <f t="shared" si="20"/>
        <v>-951000</v>
      </c>
      <c r="G222" s="100">
        <f t="shared" si="20"/>
        <v>1902000</v>
      </c>
      <c r="H222" s="101" t="e">
        <f t="shared" si="19"/>
        <v>#VALUE!</v>
      </c>
      <c r="I222" s="101">
        <f t="shared" si="21"/>
        <v>-2853000</v>
      </c>
      <c r="J222" s="101">
        <f t="shared" si="19"/>
        <v>-300</v>
      </c>
    </row>
    <row r="223" spans="1:10" ht="20.100000000000001" hidden="1" customHeight="1">
      <c r="A223" s="97"/>
      <c r="B223" s="102" t="s">
        <v>1107</v>
      </c>
      <c r="C223" s="103" t="s">
        <v>155</v>
      </c>
      <c r="D223" s="104">
        <v>951000</v>
      </c>
      <c r="E223" s="104">
        <v>951000</v>
      </c>
      <c r="F223" s="100">
        <f t="shared" si="20"/>
        <v>0</v>
      </c>
      <c r="G223" s="100">
        <f t="shared" si="20"/>
        <v>951000</v>
      </c>
      <c r="H223" s="101" t="e">
        <f t="shared" si="19"/>
        <v>#VALUE!</v>
      </c>
      <c r="I223" s="101">
        <f t="shared" si="21"/>
        <v>-951000</v>
      </c>
      <c r="J223" s="101">
        <f t="shared" si="19"/>
        <v>-100</v>
      </c>
    </row>
    <row r="224" spans="1:10" ht="20.100000000000001" hidden="1" customHeight="1">
      <c r="A224" s="97"/>
      <c r="B224" s="102" t="s">
        <v>1108</v>
      </c>
      <c r="C224" s="103" t="s">
        <v>193</v>
      </c>
      <c r="D224" s="104"/>
      <c r="E224" s="104">
        <v>4671000</v>
      </c>
      <c r="F224" s="100">
        <f t="shared" si="20"/>
        <v>-4671000</v>
      </c>
      <c r="G224" s="100">
        <f t="shared" si="20"/>
        <v>9342000</v>
      </c>
      <c r="H224" s="101" t="e">
        <f t="shared" si="19"/>
        <v>#VALUE!</v>
      </c>
      <c r="I224" s="101">
        <f t="shared" si="21"/>
        <v>-14013000</v>
      </c>
      <c r="J224" s="101">
        <f t="shared" si="19"/>
        <v>-300</v>
      </c>
    </row>
    <row r="225" spans="1:10" ht="20.100000000000001" hidden="1" customHeight="1">
      <c r="A225" s="97"/>
      <c r="B225" s="102" t="s">
        <v>1109</v>
      </c>
      <c r="C225" s="103" t="s">
        <v>195</v>
      </c>
      <c r="D225" s="104">
        <v>4671000</v>
      </c>
      <c r="E225" s="104">
        <v>4671000</v>
      </c>
      <c r="F225" s="100">
        <f t="shared" si="20"/>
        <v>0</v>
      </c>
      <c r="G225" s="100">
        <f t="shared" si="20"/>
        <v>4671000</v>
      </c>
      <c r="H225" s="101" t="e">
        <f t="shared" si="19"/>
        <v>#VALUE!</v>
      </c>
      <c r="I225" s="101">
        <f t="shared" si="21"/>
        <v>-4671000</v>
      </c>
      <c r="J225" s="101">
        <f t="shared" si="19"/>
        <v>-100</v>
      </c>
    </row>
    <row r="226" spans="1:10" ht="20.100000000000001" hidden="1" customHeight="1">
      <c r="A226" s="97"/>
      <c r="B226" s="102" t="s">
        <v>1110</v>
      </c>
      <c r="C226" s="103" t="s">
        <v>157</v>
      </c>
      <c r="D226" s="104"/>
      <c r="E226" s="104">
        <v>19300000</v>
      </c>
      <c r="F226" s="100">
        <f t="shared" si="20"/>
        <v>-19300000</v>
      </c>
      <c r="G226" s="100">
        <f t="shared" si="20"/>
        <v>38600000</v>
      </c>
      <c r="H226" s="101" t="e">
        <f t="shared" si="19"/>
        <v>#VALUE!</v>
      </c>
      <c r="I226" s="101">
        <f t="shared" si="21"/>
        <v>-57900000</v>
      </c>
      <c r="J226" s="101">
        <f t="shared" si="19"/>
        <v>-300</v>
      </c>
    </row>
    <row r="227" spans="1:10" ht="20.100000000000001" hidden="1" customHeight="1">
      <c r="A227" s="97"/>
      <c r="B227" s="102" t="s">
        <v>1111</v>
      </c>
      <c r="C227" s="103" t="s">
        <v>159</v>
      </c>
      <c r="D227" s="104">
        <v>10000000</v>
      </c>
      <c r="E227" s="104">
        <v>10000000</v>
      </c>
      <c r="F227" s="100">
        <f t="shared" si="20"/>
        <v>0</v>
      </c>
      <c r="G227" s="100">
        <f t="shared" si="20"/>
        <v>10000000</v>
      </c>
      <c r="H227" s="101" t="e">
        <f t="shared" si="19"/>
        <v>#VALUE!</v>
      </c>
      <c r="I227" s="101">
        <f t="shared" si="21"/>
        <v>-10000000</v>
      </c>
      <c r="J227" s="101">
        <f t="shared" si="19"/>
        <v>-100</v>
      </c>
    </row>
    <row r="228" spans="1:10" ht="20.100000000000001" hidden="1" customHeight="1">
      <c r="A228" s="97"/>
      <c r="B228" s="102" t="s">
        <v>1112</v>
      </c>
      <c r="C228" s="103" t="s">
        <v>207</v>
      </c>
      <c r="D228" s="104">
        <v>9300000</v>
      </c>
      <c r="E228" s="104">
        <v>9300000</v>
      </c>
      <c r="F228" s="100">
        <f t="shared" si="20"/>
        <v>0</v>
      </c>
      <c r="G228" s="100">
        <f t="shared" si="20"/>
        <v>9300000</v>
      </c>
      <c r="H228" s="101" t="e">
        <f t="shared" si="19"/>
        <v>#VALUE!</v>
      </c>
      <c r="I228" s="101">
        <f t="shared" si="21"/>
        <v>-9300000</v>
      </c>
      <c r="J228" s="101">
        <f t="shared" si="19"/>
        <v>-100</v>
      </c>
    </row>
    <row r="229" spans="1:10" ht="20.100000000000001" hidden="1" customHeight="1">
      <c r="A229" s="97"/>
      <c r="B229" s="102" t="s">
        <v>1113</v>
      </c>
      <c r="C229" s="103" t="s">
        <v>402</v>
      </c>
      <c r="D229" s="104"/>
      <c r="E229" s="104">
        <v>1800000</v>
      </c>
      <c r="F229" s="100">
        <f t="shared" si="20"/>
        <v>-1800000</v>
      </c>
      <c r="G229" s="100">
        <f t="shared" si="20"/>
        <v>3600000</v>
      </c>
      <c r="H229" s="101" t="e">
        <f t="shared" si="19"/>
        <v>#VALUE!</v>
      </c>
      <c r="I229" s="101">
        <f t="shared" si="21"/>
        <v>-5400000</v>
      </c>
      <c r="J229" s="101">
        <f t="shared" si="19"/>
        <v>-300</v>
      </c>
    </row>
    <row r="230" spans="1:10" ht="20.100000000000001" hidden="1" customHeight="1">
      <c r="A230" s="97"/>
      <c r="B230" s="102" t="s">
        <v>1114</v>
      </c>
      <c r="C230" s="103" t="s">
        <v>404</v>
      </c>
      <c r="D230" s="104">
        <v>1800000</v>
      </c>
      <c r="E230" s="104">
        <v>1800000</v>
      </c>
      <c r="F230" s="100">
        <f t="shared" si="20"/>
        <v>0</v>
      </c>
      <c r="G230" s="100">
        <f t="shared" si="20"/>
        <v>1800000</v>
      </c>
      <c r="H230" s="101" t="e">
        <f t="shared" si="19"/>
        <v>#VALUE!</v>
      </c>
      <c r="I230" s="101">
        <f t="shared" si="21"/>
        <v>-1800000</v>
      </c>
      <c r="J230" s="101">
        <f t="shared" si="19"/>
        <v>-100</v>
      </c>
    </row>
    <row r="231" spans="1:10" ht="20.100000000000001" customHeight="1">
      <c r="A231" s="111">
        <v>17</v>
      </c>
      <c r="B231" s="193" t="s">
        <v>1115</v>
      </c>
      <c r="C231" s="195" t="s">
        <v>20</v>
      </c>
      <c r="D231" s="197">
        <f>SUM(D234:D250)</f>
        <v>41872000</v>
      </c>
      <c r="E231" s="197">
        <f>'rekap REALISASI REKO '!AB309</f>
        <v>27984000</v>
      </c>
      <c r="F231" s="197">
        <f>D231-E231</f>
        <v>13888000</v>
      </c>
      <c r="G231" s="216">
        <f>'rekap REALISASI REKO '!AQ309</f>
        <v>25123850</v>
      </c>
      <c r="H231" s="214">
        <f>G231/E231*100</f>
        <v>89.779338193253295</v>
      </c>
      <c r="I231" s="214">
        <f>E231-G231</f>
        <v>2860150</v>
      </c>
      <c r="J231" s="214">
        <f>I231/E231*100</f>
        <v>10.220661806746714</v>
      </c>
    </row>
    <row r="232" spans="1:10" ht="7.5" customHeight="1">
      <c r="A232" s="112"/>
      <c r="B232" s="194"/>
      <c r="C232" s="196"/>
      <c r="D232" s="198"/>
      <c r="E232" s="198"/>
      <c r="F232" s="198"/>
      <c r="G232" s="217"/>
      <c r="H232" s="215"/>
      <c r="I232" s="215"/>
      <c r="J232" s="215"/>
    </row>
    <row r="233" spans="1:10" ht="20.100000000000001" hidden="1" customHeight="1">
      <c r="A233" s="97"/>
      <c r="B233" s="102" t="s">
        <v>1116</v>
      </c>
      <c r="C233" s="103" t="s">
        <v>10</v>
      </c>
      <c r="D233" s="104"/>
      <c r="E233" s="104">
        <v>2300000</v>
      </c>
      <c r="F233" s="100">
        <f t="shared" si="20"/>
        <v>-2300000</v>
      </c>
      <c r="G233" s="100">
        <f t="shared" si="20"/>
        <v>4600000</v>
      </c>
      <c r="H233" s="101" t="e">
        <f t="shared" si="19"/>
        <v>#VALUE!</v>
      </c>
      <c r="I233" s="101">
        <f t="shared" ref="I233:I250" si="22">F233-G233</f>
        <v>-6900000</v>
      </c>
      <c r="J233" s="101">
        <f t="shared" si="19"/>
        <v>-300</v>
      </c>
    </row>
    <row r="234" spans="1:10" ht="20.100000000000001" hidden="1" customHeight="1">
      <c r="A234" s="97"/>
      <c r="B234" s="102" t="s">
        <v>1117</v>
      </c>
      <c r="C234" s="103" t="s">
        <v>177</v>
      </c>
      <c r="D234" s="104"/>
      <c r="E234" s="104">
        <v>2300000</v>
      </c>
      <c r="F234" s="100">
        <f t="shared" si="20"/>
        <v>-2300000</v>
      </c>
      <c r="G234" s="100">
        <f t="shared" si="20"/>
        <v>4600000</v>
      </c>
      <c r="H234" s="101" t="e">
        <f t="shared" si="19"/>
        <v>#VALUE!</v>
      </c>
      <c r="I234" s="101">
        <f t="shared" si="22"/>
        <v>-6900000</v>
      </c>
      <c r="J234" s="101">
        <f t="shared" si="19"/>
        <v>-300</v>
      </c>
    </row>
    <row r="235" spans="1:10" ht="20.100000000000001" hidden="1" customHeight="1">
      <c r="A235" s="97"/>
      <c r="B235" s="102" t="s">
        <v>1118</v>
      </c>
      <c r="C235" s="103" t="s">
        <v>283</v>
      </c>
      <c r="D235" s="104">
        <v>2300000</v>
      </c>
      <c r="E235" s="104">
        <v>2300000</v>
      </c>
      <c r="F235" s="100">
        <f t="shared" si="20"/>
        <v>0</v>
      </c>
      <c r="G235" s="100">
        <f t="shared" si="20"/>
        <v>2300000</v>
      </c>
      <c r="H235" s="101" t="e">
        <f t="shared" si="19"/>
        <v>#VALUE!</v>
      </c>
      <c r="I235" s="101">
        <f t="shared" si="22"/>
        <v>-2300000</v>
      </c>
      <c r="J235" s="101">
        <f t="shared" si="19"/>
        <v>-100</v>
      </c>
    </row>
    <row r="236" spans="1:10" ht="20.100000000000001" hidden="1" customHeight="1">
      <c r="A236" s="97"/>
      <c r="B236" s="102" t="s">
        <v>1119</v>
      </c>
      <c r="C236" s="103" t="s">
        <v>143</v>
      </c>
      <c r="D236" s="104"/>
      <c r="E236" s="104">
        <v>39572000</v>
      </c>
      <c r="F236" s="100">
        <f t="shared" si="20"/>
        <v>-39572000</v>
      </c>
      <c r="G236" s="100">
        <f t="shared" si="20"/>
        <v>79144000</v>
      </c>
      <c r="H236" s="101" t="e">
        <f t="shared" si="19"/>
        <v>#VALUE!</v>
      </c>
      <c r="I236" s="101">
        <f t="shared" si="22"/>
        <v>-118716000</v>
      </c>
      <c r="J236" s="101">
        <f t="shared" si="19"/>
        <v>-300</v>
      </c>
    </row>
    <row r="237" spans="1:10" ht="20.100000000000001" hidden="1" customHeight="1">
      <c r="A237" s="97"/>
      <c r="B237" s="102" t="s">
        <v>1120</v>
      </c>
      <c r="C237" s="103" t="s">
        <v>145</v>
      </c>
      <c r="D237" s="104"/>
      <c r="E237" s="104">
        <v>1517000</v>
      </c>
      <c r="F237" s="100">
        <f t="shared" si="20"/>
        <v>-1517000</v>
      </c>
      <c r="G237" s="100">
        <f t="shared" si="20"/>
        <v>3034000</v>
      </c>
      <c r="H237" s="101" t="e">
        <f t="shared" si="19"/>
        <v>#VALUE!</v>
      </c>
      <c r="I237" s="101">
        <f t="shared" si="22"/>
        <v>-4551000</v>
      </c>
      <c r="J237" s="101">
        <f t="shared" si="19"/>
        <v>-300</v>
      </c>
    </row>
    <row r="238" spans="1:10" ht="20.100000000000001" hidden="1" customHeight="1">
      <c r="A238" s="97"/>
      <c r="B238" s="102" t="s">
        <v>1121</v>
      </c>
      <c r="C238" s="103" t="s">
        <v>147</v>
      </c>
      <c r="D238" s="104">
        <v>1517000</v>
      </c>
      <c r="E238" s="104">
        <v>1517000</v>
      </c>
      <c r="F238" s="100">
        <f t="shared" si="20"/>
        <v>0</v>
      </c>
      <c r="G238" s="100">
        <f t="shared" si="20"/>
        <v>1517000</v>
      </c>
      <c r="H238" s="101" t="e">
        <f t="shared" si="19"/>
        <v>#VALUE!</v>
      </c>
      <c r="I238" s="101">
        <f t="shared" si="22"/>
        <v>-1517000</v>
      </c>
      <c r="J238" s="101">
        <f t="shared" si="19"/>
        <v>-100</v>
      </c>
    </row>
    <row r="239" spans="1:10" ht="20.100000000000001" hidden="1" customHeight="1">
      <c r="A239" s="97"/>
      <c r="B239" s="102" t="s">
        <v>1122</v>
      </c>
      <c r="C239" s="103" t="s">
        <v>163</v>
      </c>
      <c r="D239" s="104"/>
      <c r="E239" s="104">
        <v>4000000</v>
      </c>
      <c r="F239" s="100">
        <f t="shared" si="20"/>
        <v>-4000000</v>
      </c>
      <c r="G239" s="100">
        <f t="shared" si="20"/>
        <v>8000000</v>
      </c>
      <c r="H239" s="101" t="e">
        <f t="shared" si="19"/>
        <v>#VALUE!</v>
      </c>
      <c r="I239" s="101">
        <f t="shared" si="22"/>
        <v>-12000000</v>
      </c>
      <c r="J239" s="101">
        <f t="shared" si="19"/>
        <v>-300</v>
      </c>
    </row>
    <row r="240" spans="1:10" ht="20.100000000000001" hidden="1" customHeight="1">
      <c r="A240" s="97"/>
      <c r="B240" s="102" t="s">
        <v>1123</v>
      </c>
      <c r="C240" s="103" t="s">
        <v>352</v>
      </c>
      <c r="D240" s="104">
        <v>4000000</v>
      </c>
      <c r="E240" s="104">
        <v>4000000</v>
      </c>
      <c r="F240" s="100">
        <f t="shared" si="20"/>
        <v>0</v>
      </c>
      <c r="G240" s="100">
        <f t="shared" si="20"/>
        <v>4000000</v>
      </c>
      <c r="H240" s="101" t="e">
        <f t="shared" si="19"/>
        <v>#VALUE!</v>
      </c>
      <c r="I240" s="101">
        <f t="shared" si="22"/>
        <v>-4000000</v>
      </c>
      <c r="J240" s="101">
        <f t="shared" si="19"/>
        <v>-100</v>
      </c>
    </row>
    <row r="241" spans="1:10" ht="20.100000000000001" hidden="1" customHeight="1">
      <c r="A241" s="97"/>
      <c r="B241" s="102" t="s">
        <v>1124</v>
      </c>
      <c r="C241" s="103" t="s">
        <v>151</v>
      </c>
      <c r="D241" s="104"/>
      <c r="E241" s="104">
        <v>1420000</v>
      </c>
      <c r="F241" s="100">
        <f t="shared" si="20"/>
        <v>-1420000</v>
      </c>
      <c r="G241" s="100">
        <f t="shared" si="20"/>
        <v>2840000</v>
      </c>
      <c r="H241" s="101" t="e">
        <f t="shared" si="19"/>
        <v>#VALUE!</v>
      </c>
      <c r="I241" s="101">
        <f t="shared" si="22"/>
        <v>-4260000</v>
      </c>
      <c r="J241" s="101">
        <f t="shared" si="19"/>
        <v>-300</v>
      </c>
    </row>
    <row r="242" spans="1:10" ht="20.100000000000001" hidden="1" customHeight="1">
      <c r="A242" s="97"/>
      <c r="B242" s="102" t="s">
        <v>1125</v>
      </c>
      <c r="C242" s="103" t="s">
        <v>153</v>
      </c>
      <c r="D242" s="104">
        <v>831000</v>
      </c>
      <c r="E242" s="104">
        <v>831000</v>
      </c>
      <c r="F242" s="100">
        <f t="shared" si="20"/>
        <v>0</v>
      </c>
      <c r="G242" s="100">
        <f t="shared" si="20"/>
        <v>831000</v>
      </c>
      <c r="H242" s="101" t="e">
        <f t="shared" si="19"/>
        <v>#VALUE!</v>
      </c>
      <c r="I242" s="101">
        <f t="shared" si="22"/>
        <v>-831000</v>
      </c>
      <c r="J242" s="101">
        <f t="shared" si="19"/>
        <v>-100</v>
      </c>
    </row>
    <row r="243" spans="1:10" ht="20.100000000000001" hidden="1" customHeight="1">
      <c r="A243" s="97"/>
      <c r="B243" s="102" t="s">
        <v>1126</v>
      </c>
      <c r="C243" s="103" t="s">
        <v>155</v>
      </c>
      <c r="D243" s="104">
        <v>589000</v>
      </c>
      <c r="E243" s="104">
        <v>589000</v>
      </c>
      <c r="F243" s="100">
        <f t="shared" si="20"/>
        <v>0</v>
      </c>
      <c r="G243" s="100">
        <f t="shared" si="20"/>
        <v>589000</v>
      </c>
      <c r="H243" s="101" t="e">
        <f t="shared" si="19"/>
        <v>#VALUE!</v>
      </c>
      <c r="I243" s="101">
        <f t="shared" si="22"/>
        <v>-589000</v>
      </c>
      <c r="J243" s="101">
        <f t="shared" si="19"/>
        <v>-100</v>
      </c>
    </row>
    <row r="244" spans="1:10" ht="20.100000000000001" hidden="1" customHeight="1">
      <c r="A244" s="97"/>
      <c r="B244" s="102" t="s">
        <v>1127</v>
      </c>
      <c r="C244" s="103" t="s">
        <v>193</v>
      </c>
      <c r="D244" s="104"/>
      <c r="E244" s="104">
        <v>7425000</v>
      </c>
      <c r="F244" s="100">
        <f t="shared" si="20"/>
        <v>-7425000</v>
      </c>
      <c r="G244" s="100">
        <f t="shared" si="20"/>
        <v>14850000</v>
      </c>
      <c r="H244" s="101" t="e">
        <f t="shared" si="19"/>
        <v>#VALUE!</v>
      </c>
      <c r="I244" s="101">
        <f t="shared" si="22"/>
        <v>-22275000</v>
      </c>
      <c r="J244" s="101">
        <f t="shared" si="19"/>
        <v>-300</v>
      </c>
    </row>
    <row r="245" spans="1:10" ht="20.100000000000001" hidden="1" customHeight="1">
      <c r="A245" s="97"/>
      <c r="B245" s="102" t="s">
        <v>1128</v>
      </c>
      <c r="C245" s="103" t="s">
        <v>195</v>
      </c>
      <c r="D245" s="104">
        <v>7425000</v>
      </c>
      <c r="E245" s="104">
        <v>7425000</v>
      </c>
      <c r="F245" s="100">
        <f t="shared" si="20"/>
        <v>0</v>
      </c>
      <c r="G245" s="100">
        <f t="shared" si="20"/>
        <v>7425000</v>
      </c>
      <c r="H245" s="101" t="e">
        <f t="shared" si="19"/>
        <v>#VALUE!</v>
      </c>
      <c r="I245" s="101">
        <f t="shared" si="22"/>
        <v>-7425000</v>
      </c>
      <c r="J245" s="101">
        <f t="shared" si="19"/>
        <v>-100</v>
      </c>
    </row>
    <row r="246" spans="1:10" ht="20.100000000000001" hidden="1" customHeight="1">
      <c r="A246" s="97"/>
      <c r="B246" s="102" t="s">
        <v>1129</v>
      </c>
      <c r="C246" s="103" t="s">
        <v>157</v>
      </c>
      <c r="D246" s="104"/>
      <c r="E246" s="104">
        <v>13360000</v>
      </c>
      <c r="F246" s="100">
        <f t="shared" si="20"/>
        <v>-13360000</v>
      </c>
      <c r="G246" s="100">
        <f t="shared" si="20"/>
        <v>26720000</v>
      </c>
      <c r="H246" s="101" t="e">
        <f t="shared" si="19"/>
        <v>#VALUE!</v>
      </c>
      <c r="I246" s="101">
        <f t="shared" si="22"/>
        <v>-40080000</v>
      </c>
      <c r="J246" s="101">
        <f t="shared" si="19"/>
        <v>-300</v>
      </c>
    </row>
    <row r="247" spans="1:10" ht="20.100000000000001" hidden="1" customHeight="1">
      <c r="A247" s="97"/>
      <c r="B247" s="102" t="s">
        <v>1130</v>
      </c>
      <c r="C247" s="103" t="s">
        <v>159</v>
      </c>
      <c r="D247" s="104">
        <v>4560000</v>
      </c>
      <c r="E247" s="104">
        <v>4560000</v>
      </c>
      <c r="F247" s="100">
        <f t="shared" si="20"/>
        <v>0</v>
      </c>
      <c r="G247" s="100">
        <f t="shared" si="20"/>
        <v>4560000</v>
      </c>
      <c r="H247" s="101" t="e">
        <f t="shared" si="19"/>
        <v>#VALUE!</v>
      </c>
      <c r="I247" s="101">
        <f t="shared" si="22"/>
        <v>-4560000</v>
      </c>
      <c r="J247" s="101">
        <f t="shared" si="19"/>
        <v>-100</v>
      </c>
    </row>
    <row r="248" spans="1:10" ht="20.100000000000001" hidden="1" customHeight="1">
      <c r="A248" s="97"/>
      <c r="B248" s="102" t="s">
        <v>1131</v>
      </c>
      <c r="C248" s="103" t="s">
        <v>207</v>
      </c>
      <c r="D248" s="104">
        <v>8800000</v>
      </c>
      <c r="E248" s="104">
        <v>8800000</v>
      </c>
      <c r="F248" s="100">
        <f t="shared" si="20"/>
        <v>0</v>
      </c>
      <c r="G248" s="100">
        <f t="shared" si="20"/>
        <v>8800000</v>
      </c>
      <c r="H248" s="101" t="e">
        <f t="shared" si="19"/>
        <v>#VALUE!</v>
      </c>
      <c r="I248" s="101">
        <f t="shared" si="22"/>
        <v>-8800000</v>
      </c>
      <c r="J248" s="101">
        <f t="shared" si="19"/>
        <v>-100</v>
      </c>
    </row>
    <row r="249" spans="1:10" ht="20.100000000000001" hidden="1" customHeight="1">
      <c r="A249" s="97"/>
      <c r="B249" s="102" t="s">
        <v>1132</v>
      </c>
      <c r="C249" s="103" t="s">
        <v>402</v>
      </c>
      <c r="D249" s="104"/>
      <c r="E249" s="104">
        <v>11850000</v>
      </c>
      <c r="F249" s="100">
        <f t="shared" si="20"/>
        <v>-11850000</v>
      </c>
      <c r="G249" s="100">
        <f t="shared" si="20"/>
        <v>23700000</v>
      </c>
      <c r="H249" s="101" t="e">
        <f t="shared" si="19"/>
        <v>#VALUE!</v>
      </c>
      <c r="I249" s="101">
        <f t="shared" si="22"/>
        <v>-35550000</v>
      </c>
      <c r="J249" s="101">
        <f t="shared" si="19"/>
        <v>-300</v>
      </c>
    </row>
    <row r="250" spans="1:10" ht="20.100000000000001" hidden="1" customHeight="1">
      <c r="A250" s="97"/>
      <c r="B250" s="102" t="s">
        <v>1133</v>
      </c>
      <c r="C250" s="103" t="s">
        <v>404</v>
      </c>
      <c r="D250" s="104">
        <v>11850000</v>
      </c>
      <c r="E250" s="104">
        <v>11850000</v>
      </c>
      <c r="F250" s="100">
        <f t="shared" si="20"/>
        <v>0</v>
      </c>
      <c r="G250" s="100">
        <f t="shared" si="20"/>
        <v>11850000</v>
      </c>
      <c r="H250" s="101" t="e">
        <f t="shared" si="19"/>
        <v>#VALUE!</v>
      </c>
      <c r="I250" s="101">
        <f t="shared" si="22"/>
        <v>-11850000</v>
      </c>
      <c r="J250" s="101">
        <f t="shared" si="19"/>
        <v>-100</v>
      </c>
    </row>
    <row r="251" spans="1:10" ht="20.100000000000001" customHeight="1">
      <c r="A251" s="111">
        <v>18</v>
      </c>
      <c r="B251" s="193" t="s">
        <v>1134</v>
      </c>
      <c r="C251" s="195" t="s">
        <v>504</v>
      </c>
      <c r="D251" s="197">
        <f>SUM(D254:D273)</f>
        <v>359641000</v>
      </c>
      <c r="E251" s="197">
        <f>'rekap REALISASI REKO '!AB329</f>
        <v>297000000</v>
      </c>
      <c r="F251" s="197">
        <f>D251-E251</f>
        <v>62641000</v>
      </c>
      <c r="G251" s="216">
        <f>'rekap REALISASI REKO '!AQ329</f>
        <v>268516000</v>
      </c>
      <c r="H251" s="214">
        <f>G251/E251*100</f>
        <v>90.40942760942761</v>
      </c>
      <c r="I251" s="214">
        <f>E251-G251</f>
        <v>28484000</v>
      </c>
      <c r="J251" s="214">
        <f>I251/E251*100</f>
        <v>9.5905723905723903</v>
      </c>
    </row>
    <row r="252" spans="1:10" ht="5.25" customHeight="1">
      <c r="A252" s="112"/>
      <c r="B252" s="194"/>
      <c r="C252" s="196"/>
      <c r="D252" s="198"/>
      <c r="E252" s="198"/>
      <c r="F252" s="198"/>
      <c r="G252" s="217"/>
      <c r="H252" s="215"/>
      <c r="I252" s="215"/>
      <c r="J252" s="215"/>
    </row>
    <row r="253" spans="1:10" ht="20.100000000000001" hidden="1" customHeight="1">
      <c r="A253" s="97"/>
      <c r="B253" s="102" t="s">
        <v>1135</v>
      </c>
      <c r="C253" s="103" t="s">
        <v>10</v>
      </c>
      <c r="D253" s="104"/>
      <c r="E253" s="104">
        <v>9610000</v>
      </c>
      <c r="F253" s="100">
        <f t="shared" si="20"/>
        <v>-9610000</v>
      </c>
      <c r="G253" s="100">
        <f t="shared" si="20"/>
        <v>19220000</v>
      </c>
      <c r="H253" s="101" t="e">
        <f t="shared" si="19"/>
        <v>#VALUE!</v>
      </c>
      <c r="I253" s="101">
        <f t="shared" ref="I253:I273" si="23">F253-G253</f>
        <v>-28830000</v>
      </c>
      <c r="J253" s="101">
        <f t="shared" si="19"/>
        <v>-300</v>
      </c>
    </row>
    <row r="254" spans="1:10" ht="20.100000000000001" hidden="1" customHeight="1">
      <c r="A254" s="97"/>
      <c r="B254" s="102" t="s">
        <v>1136</v>
      </c>
      <c r="C254" s="103" t="s">
        <v>177</v>
      </c>
      <c r="D254" s="104"/>
      <c r="E254" s="104">
        <v>9610000</v>
      </c>
      <c r="F254" s="100">
        <f t="shared" si="20"/>
        <v>-9610000</v>
      </c>
      <c r="G254" s="100">
        <f t="shared" si="20"/>
        <v>19220000</v>
      </c>
      <c r="H254" s="101" t="e">
        <f t="shared" si="19"/>
        <v>#VALUE!</v>
      </c>
      <c r="I254" s="101">
        <f t="shared" si="23"/>
        <v>-28830000</v>
      </c>
      <c r="J254" s="101">
        <f t="shared" si="19"/>
        <v>-300</v>
      </c>
    </row>
    <row r="255" spans="1:10" ht="20.100000000000001" hidden="1" customHeight="1">
      <c r="A255" s="97"/>
      <c r="B255" s="102" t="s">
        <v>1137</v>
      </c>
      <c r="C255" s="103" t="s">
        <v>283</v>
      </c>
      <c r="D255" s="104">
        <v>7800000</v>
      </c>
      <c r="E255" s="104">
        <v>7800000</v>
      </c>
      <c r="F255" s="100">
        <f t="shared" si="20"/>
        <v>0</v>
      </c>
      <c r="G255" s="100">
        <f t="shared" si="20"/>
        <v>7800000</v>
      </c>
      <c r="H255" s="101" t="e">
        <f t="shared" si="19"/>
        <v>#VALUE!</v>
      </c>
      <c r="I255" s="101">
        <f t="shared" si="23"/>
        <v>-7800000</v>
      </c>
      <c r="J255" s="101">
        <f t="shared" si="19"/>
        <v>-100</v>
      </c>
    </row>
    <row r="256" spans="1:10" ht="20.100000000000001" hidden="1" customHeight="1">
      <c r="A256" s="97"/>
      <c r="B256" s="102" t="s">
        <v>1138</v>
      </c>
      <c r="C256" s="103" t="s">
        <v>384</v>
      </c>
      <c r="D256" s="104">
        <v>1810000</v>
      </c>
      <c r="E256" s="104">
        <v>1810000</v>
      </c>
      <c r="F256" s="100">
        <f t="shared" si="20"/>
        <v>0</v>
      </c>
      <c r="G256" s="100">
        <f t="shared" si="20"/>
        <v>1810000</v>
      </c>
      <c r="H256" s="101" t="e">
        <f t="shared" si="19"/>
        <v>#VALUE!</v>
      </c>
      <c r="I256" s="101">
        <f t="shared" si="23"/>
        <v>-1810000</v>
      </c>
      <c r="J256" s="101">
        <f t="shared" si="19"/>
        <v>-100</v>
      </c>
    </row>
    <row r="257" spans="1:10" ht="20.100000000000001" hidden="1" customHeight="1">
      <c r="A257" s="97"/>
      <c r="B257" s="102" t="s">
        <v>1139</v>
      </c>
      <c r="C257" s="103" t="s">
        <v>143</v>
      </c>
      <c r="D257" s="104"/>
      <c r="E257" s="104">
        <v>350031000</v>
      </c>
      <c r="F257" s="100">
        <f t="shared" si="20"/>
        <v>-350031000</v>
      </c>
      <c r="G257" s="100">
        <f t="shared" si="20"/>
        <v>700062000</v>
      </c>
      <c r="H257" s="101" t="e">
        <f t="shared" si="19"/>
        <v>#VALUE!</v>
      </c>
      <c r="I257" s="101">
        <f t="shared" si="23"/>
        <v>-1050093000</v>
      </c>
      <c r="J257" s="101">
        <f t="shared" si="19"/>
        <v>-300</v>
      </c>
    </row>
    <row r="258" spans="1:10" ht="20.100000000000001" hidden="1" customHeight="1">
      <c r="A258" s="97"/>
      <c r="B258" s="102" t="s">
        <v>1140</v>
      </c>
      <c r="C258" s="103" t="s">
        <v>145</v>
      </c>
      <c r="D258" s="104"/>
      <c r="E258" s="104">
        <v>6199000</v>
      </c>
      <c r="F258" s="100">
        <f t="shared" si="20"/>
        <v>-6199000</v>
      </c>
      <c r="G258" s="100">
        <f t="shared" si="20"/>
        <v>12398000</v>
      </c>
      <c r="H258" s="101" t="e">
        <f t="shared" si="19"/>
        <v>#VALUE!</v>
      </c>
      <c r="I258" s="101">
        <f t="shared" si="23"/>
        <v>-18597000</v>
      </c>
      <c r="J258" s="101">
        <f t="shared" si="19"/>
        <v>-300</v>
      </c>
    </row>
    <row r="259" spans="1:10" ht="20.100000000000001" hidden="1" customHeight="1">
      <c r="A259" s="97"/>
      <c r="B259" s="102" t="s">
        <v>1141</v>
      </c>
      <c r="C259" s="103" t="s">
        <v>147</v>
      </c>
      <c r="D259" s="104">
        <v>6199000</v>
      </c>
      <c r="E259" s="104">
        <v>6199000</v>
      </c>
      <c r="F259" s="100">
        <f t="shared" si="20"/>
        <v>0</v>
      </c>
      <c r="G259" s="100">
        <f t="shared" si="20"/>
        <v>6199000</v>
      </c>
      <c r="H259" s="101" t="e">
        <f t="shared" si="19"/>
        <v>#VALUE!</v>
      </c>
      <c r="I259" s="101">
        <f t="shared" si="23"/>
        <v>-6199000</v>
      </c>
      <c r="J259" s="101">
        <f t="shared" si="19"/>
        <v>-100</v>
      </c>
    </row>
    <row r="260" spans="1:10" ht="20.100000000000001" hidden="1" customHeight="1">
      <c r="A260" s="97"/>
      <c r="B260" s="102" t="s">
        <v>1142</v>
      </c>
      <c r="C260" s="103" t="s">
        <v>389</v>
      </c>
      <c r="D260" s="104"/>
      <c r="E260" s="104">
        <v>164684000</v>
      </c>
      <c r="F260" s="100">
        <f t="shared" si="20"/>
        <v>-164684000</v>
      </c>
      <c r="G260" s="100">
        <f t="shared" si="20"/>
        <v>329368000</v>
      </c>
      <c r="H260" s="101" t="e">
        <f t="shared" si="19"/>
        <v>#VALUE!</v>
      </c>
      <c r="I260" s="101">
        <f t="shared" si="23"/>
        <v>-494052000</v>
      </c>
      <c r="J260" s="101">
        <f t="shared" si="19"/>
        <v>-300</v>
      </c>
    </row>
    <row r="261" spans="1:10" ht="20.100000000000001" hidden="1" customHeight="1">
      <c r="A261" s="97"/>
      <c r="B261" s="102" t="s">
        <v>1143</v>
      </c>
      <c r="C261" s="103" t="s">
        <v>391</v>
      </c>
      <c r="D261" s="104">
        <v>164684000</v>
      </c>
      <c r="E261" s="104">
        <v>164684000</v>
      </c>
      <c r="F261" s="100">
        <f t="shared" si="20"/>
        <v>0</v>
      </c>
      <c r="G261" s="100">
        <f t="shared" si="20"/>
        <v>164684000</v>
      </c>
      <c r="H261" s="101" t="e">
        <f t="shared" si="19"/>
        <v>#VALUE!</v>
      </c>
      <c r="I261" s="101">
        <f t="shared" si="23"/>
        <v>-164684000</v>
      </c>
      <c r="J261" s="101">
        <f t="shared" si="19"/>
        <v>-100</v>
      </c>
    </row>
    <row r="262" spans="1:10" ht="20.100000000000001" hidden="1" customHeight="1">
      <c r="A262" s="97"/>
      <c r="B262" s="102" t="s">
        <v>1144</v>
      </c>
      <c r="C262" s="103" t="s">
        <v>163</v>
      </c>
      <c r="D262" s="104"/>
      <c r="E262" s="104">
        <v>50000000</v>
      </c>
      <c r="F262" s="100">
        <f t="shared" si="20"/>
        <v>-50000000</v>
      </c>
      <c r="G262" s="100">
        <f t="shared" si="20"/>
        <v>100000000</v>
      </c>
      <c r="H262" s="101" t="e">
        <f t="shared" si="19"/>
        <v>#VALUE!</v>
      </c>
      <c r="I262" s="101">
        <f t="shared" si="23"/>
        <v>-150000000</v>
      </c>
      <c r="J262" s="101">
        <f t="shared" si="19"/>
        <v>-300</v>
      </c>
    </row>
    <row r="263" spans="1:10" ht="20.100000000000001" hidden="1" customHeight="1">
      <c r="A263" s="97"/>
      <c r="B263" s="102" t="s">
        <v>1145</v>
      </c>
      <c r="C263" s="103" t="s">
        <v>352</v>
      </c>
      <c r="D263" s="104">
        <v>50000000</v>
      </c>
      <c r="E263" s="104">
        <v>50000000</v>
      </c>
      <c r="F263" s="100">
        <f t="shared" si="20"/>
        <v>0</v>
      </c>
      <c r="G263" s="100">
        <f t="shared" si="20"/>
        <v>50000000</v>
      </c>
      <c r="H263" s="101" t="e">
        <f t="shared" si="19"/>
        <v>#VALUE!</v>
      </c>
      <c r="I263" s="101">
        <f t="shared" si="23"/>
        <v>-50000000</v>
      </c>
      <c r="J263" s="101">
        <f t="shared" si="19"/>
        <v>-100</v>
      </c>
    </row>
    <row r="264" spans="1:10" ht="20.100000000000001" hidden="1" customHeight="1">
      <c r="A264" s="97"/>
      <c r="B264" s="102" t="s">
        <v>1146</v>
      </c>
      <c r="C264" s="103" t="s">
        <v>151</v>
      </c>
      <c r="D264" s="104"/>
      <c r="E264" s="104">
        <v>6913000</v>
      </c>
      <c r="F264" s="100">
        <f t="shared" si="20"/>
        <v>-6913000</v>
      </c>
      <c r="G264" s="100">
        <f t="shared" si="20"/>
        <v>13826000</v>
      </c>
      <c r="H264" s="101" t="e">
        <f t="shared" si="19"/>
        <v>#VALUE!</v>
      </c>
      <c r="I264" s="101">
        <f t="shared" si="23"/>
        <v>-20739000</v>
      </c>
      <c r="J264" s="101">
        <f t="shared" si="19"/>
        <v>-300</v>
      </c>
    </row>
    <row r="265" spans="1:10" ht="20.100000000000001" hidden="1" customHeight="1">
      <c r="A265" s="97"/>
      <c r="B265" s="102" t="s">
        <v>1147</v>
      </c>
      <c r="C265" s="103" t="s">
        <v>153</v>
      </c>
      <c r="D265" s="104">
        <v>5563800</v>
      </c>
      <c r="E265" s="104">
        <v>5563800</v>
      </c>
      <c r="F265" s="100">
        <f t="shared" si="20"/>
        <v>0</v>
      </c>
      <c r="G265" s="100">
        <f t="shared" si="20"/>
        <v>5563800</v>
      </c>
      <c r="H265" s="101" t="e">
        <f t="shared" si="19"/>
        <v>#VALUE!</v>
      </c>
      <c r="I265" s="101">
        <f t="shared" si="23"/>
        <v>-5563800</v>
      </c>
      <c r="J265" s="101">
        <f t="shared" si="19"/>
        <v>-100</v>
      </c>
    </row>
    <row r="266" spans="1:10" ht="20.100000000000001" hidden="1" customHeight="1">
      <c r="A266" s="97"/>
      <c r="B266" s="102" t="s">
        <v>1148</v>
      </c>
      <c r="C266" s="103" t="s">
        <v>155</v>
      </c>
      <c r="D266" s="104">
        <v>1349200</v>
      </c>
      <c r="E266" s="104">
        <v>1349200</v>
      </c>
      <c r="F266" s="100">
        <f t="shared" si="20"/>
        <v>0</v>
      </c>
      <c r="G266" s="100">
        <f t="shared" si="20"/>
        <v>1349200</v>
      </c>
      <c r="H266" s="101" t="e">
        <f t="shared" ref="H266:J329" si="24">G266/C266*100</f>
        <v>#VALUE!</v>
      </c>
      <c r="I266" s="101">
        <f t="shared" si="23"/>
        <v>-1349200</v>
      </c>
      <c r="J266" s="101">
        <f t="shared" si="24"/>
        <v>-100</v>
      </c>
    </row>
    <row r="267" spans="1:10" ht="20.100000000000001" hidden="1" customHeight="1">
      <c r="A267" s="97"/>
      <c r="B267" s="102" t="s">
        <v>1149</v>
      </c>
      <c r="C267" s="103" t="s">
        <v>193</v>
      </c>
      <c r="D267" s="104"/>
      <c r="E267" s="104">
        <v>42525000</v>
      </c>
      <c r="F267" s="100">
        <f t="shared" ref="F267:G330" si="25">D267-E267</f>
        <v>-42525000</v>
      </c>
      <c r="G267" s="100">
        <f t="shared" si="25"/>
        <v>85050000</v>
      </c>
      <c r="H267" s="101" t="e">
        <f t="shared" si="24"/>
        <v>#VALUE!</v>
      </c>
      <c r="I267" s="101">
        <f t="shared" si="23"/>
        <v>-127575000</v>
      </c>
      <c r="J267" s="101">
        <f t="shared" si="24"/>
        <v>-300</v>
      </c>
    </row>
    <row r="268" spans="1:10" ht="20.100000000000001" hidden="1" customHeight="1">
      <c r="A268" s="97"/>
      <c r="B268" s="102" t="s">
        <v>1150</v>
      </c>
      <c r="C268" s="103" t="s">
        <v>195</v>
      </c>
      <c r="D268" s="104">
        <v>42525000</v>
      </c>
      <c r="E268" s="104">
        <v>42525000</v>
      </c>
      <c r="F268" s="100">
        <f t="shared" si="25"/>
        <v>0</v>
      </c>
      <c r="G268" s="100">
        <f t="shared" si="25"/>
        <v>42525000</v>
      </c>
      <c r="H268" s="101" t="e">
        <f t="shared" si="24"/>
        <v>#VALUE!</v>
      </c>
      <c r="I268" s="101">
        <f t="shared" si="23"/>
        <v>-42525000</v>
      </c>
      <c r="J268" s="101">
        <f t="shared" si="24"/>
        <v>-100</v>
      </c>
    </row>
    <row r="269" spans="1:10" ht="20.100000000000001" hidden="1" customHeight="1">
      <c r="A269" s="97"/>
      <c r="B269" s="102" t="s">
        <v>1151</v>
      </c>
      <c r="C269" s="103" t="s">
        <v>157</v>
      </c>
      <c r="D269" s="104"/>
      <c r="E269" s="104">
        <v>19710000</v>
      </c>
      <c r="F269" s="100">
        <f t="shared" si="25"/>
        <v>-19710000</v>
      </c>
      <c r="G269" s="100">
        <f t="shared" si="25"/>
        <v>39420000</v>
      </c>
      <c r="H269" s="101" t="e">
        <f t="shared" si="24"/>
        <v>#VALUE!</v>
      </c>
      <c r="I269" s="101">
        <f t="shared" si="23"/>
        <v>-59130000</v>
      </c>
      <c r="J269" s="101">
        <f t="shared" si="24"/>
        <v>-300</v>
      </c>
    </row>
    <row r="270" spans="1:10" ht="20.100000000000001" hidden="1" customHeight="1">
      <c r="A270" s="97"/>
      <c r="B270" s="102" t="s">
        <v>1152</v>
      </c>
      <c r="C270" s="103" t="s">
        <v>159</v>
      </c>
      <c r="D270" s="104">
        <v>16200000</v>
      </c>
      <c r="E270" s="104">
        <v>16200000</v>
      </c>
      <c r="F270" s="100">
        <f t="shared" si="25"/>
        <v>0</v>
      </c>
      <c r="G270" s="100">
        <f t="shared" si="25"/>
        <v>16200000</v>
      </c>
      <c r="H270" s="101" t="e">
        <f t="shared" si="24"/>
        <v>#VALUE!</v>
      </c>
      <c r="I270" s="101">
        <f t="shared" si="23"/>
        <v>-16200000</v>
      </c>
      <c r="J270" s="101">
        <f t="shared" si="24"/>
        <v>-100</v>
      </c>
    </row>
    <row r="271" spans="1:10" ht="20.100000000000001" hidden="1" customHeight="1">
      <c r="A271" s="97"/>
      <c r="B271" s="102" t="s">
        <v>1153</v>
      </c>
      <c r="C271" s="103" t="s">
        <v>207</v>
      </c>
      <c r="D271" s="104">
        <v>3510000</v>
      </c>
      <c r="E271" s="104">
        <v>3510000</v>
      </c>
      <c r="F271" s="100">
        <f t="shared" si="25"/>
        <v>0</v>
      </c>
      <c r="G271" s="100">
        <f t="shared" si="25"/>
        <v>3510000</v>
      </c>
      <c r="H271" s="101" t="e">
        <f t="shared" si="24"/>
        <v>#VALUE!</v>
      </c>
      <c r="I271" s="101">
        <f t="shared" si="23"/>
        <v>-3510000</v>
      </c>
      <c r="J271" s="101">
        <f t="shared" si="24"/>
        <v>-100</v>
      </c>
    </row>
    <row r="272" spans="1:10" ht="20.100000000000001" hidden="1" customHeight="1">
      <c r="A272" s="97"/>
      <c r="B272" s="102" t="s">
        <v>1154</v>
      </c>
      <c r="C272" s="103" t="s">
        <v>402</v>
      </c>
      <c r="D272" s="104"/>
      <c r="E272" s="104">
        <v>60000000</v>
      </c>
      <c r="F272" s="100">
        <f t="shared" si="25"/>
        <v>-60000000</v>
      </c>
      <c r="G272" s="100">
        <f t="shared" si="25"/>
        <v>120000000</v>
      </c>
      <c r="H272" s="101" t="e">
        <f t="shared" si="24"/>
        <v>#VALUE!</v>
      </c>
      <c r="I272" s="101">
        <f t="shared" si="23"/>
        <v>-180000000</v>
      </c>
      <c r="J272" s="101">
        <f t="shared" si="24"/>
        <v>-300</v>
      </c>
    </row>
    <row r="273" spans="1:10" ht="20.100000000000001" hidden="1" customHeight="1">
      <c r="A273" s="97"/>
      <c r="B273" s="102" t="s">
        <v>1155</v>
      </c>
      <c r="C273" s="103" t="s">
        <v>404</v>
      </c>
      <c r="D273" s="104">
        <v>60000000</v>
      </c>
      <c r="E273" s="104">
        <v>60000000</v>
      </c>
      <c r="F273" s="100">
        <f t="shared" si="25"/>
        <v>0</v>
      </c>
      <c r="G273" s="100">
        <f t="shared" si="25"/>
        <v>60000000</v>
      </c>
      <c r="H273" s="101" t="e">
        <f t="shared" si="24"/>
        <v>#VALUE!</v>
      </c>
      <c r="I273" s="101">
        <f t="shared" si="23"/>
        <v>-60000000</v>
      </c>
      <c r="J273" s="101">
        <f t="shared" si="24"/>
        <v>-100</v>
      </c>
    </row>
    <row r="274" spans="1:10" ht="20.100000000000001" customHeight="1">
      <c r="A274" s="111">
        <v>19</v>
      </c>
      <c r="B274" s="193" t="s">
        <v>1156</v>
      </c>
      <c r="C274" s="195" t="s">
        <v>527</v>
      </c>
      <c r="D274" s="197">
        <f>SUM(D277:D297)</f>
        <v>406093000</v>
      </c>
      <c r="E274" s="197">
        <f>'rekap REALISASI REKO '!AB351</f>
        <v>322575000</v>
      </c>
      <c r="F274" s="197">
        <f>D274-E274</f>
        <v>83518000</v>
      </c>
      <c r="G274" s="216">
        <f>'rekap REALISASI REKO '!AQ351</f>
        <v>317765975</v>
      </c>
      <c r="H274" s="214">
        <f>G274/E274*100</f>
        <v>98.509176160582811</v>
      </c>
      <c r="I274" s="214">
        <f>E274-G274</f>
        <v>4809025</v>
      </c>
      <c r="J274" s="214">
        <f>I274/E274*100</f>
        <v>1.4908238394171898</v>
      </c>
    </row>
    <row r="275" spans="1:10" ht="5.25" customHeight="1">
      <c r="A275" s="112"/>
      <c r="B275" s="194"/>
      <c r="C275" s="196"/>
      <c r="D275" s="198"/>
      <c r="E275" s="198"/>
      <c r="F275" s="198"/>
      <c r="G275" s="217"/>
      <c r="H275" s="215"/>
      <c r="I275" s="215"/>
      <c r="J275" s="215"/>
    </row>
    <row r="276" spans="1:10" ht="20.100000000000001" hidden="1" customHeight="1">
      <c r="A276" s="97"/>
      <c r="B276" s="102" t="s">
        <v>1157</v>
      </c>
      <c r="C276" s="103" t="s">
        <v>10</v>
      </c>
      <c r="D276" s="104"/>
      <c r="E276" s="104">
        <v>7900000</v>
      </c>
      <c r="F276" s="100">
        <f t="shared" si="25"/>
        <v>-7900000</v>
      </c>
      <c r="G276" s="100">
        <f t="shared" si="25"/>
        <v>15800000</v>
      </c>
      <c r="H276" s="101" t="e">
        <f t="shared" si="24"/>
        <v>#VALUE!</v>
      </c>
      <c r="I276" s="101">
        <f t="shared" ref="I276:I297" si="26">F276-G276</f>
        <v>-23700000</v>
      </c>
      <c r="J276" s="101">
        <f t="shared" si="24"/>
        <v>-300</v>
      </c>
    </row>
    <row r="277" spans="1:10" ht="20.100000000000001" hidden="1" customHeight="1">
      <c r="A277" s="97"/>
      <c r="B277" s="102" t="s">
        <v>1158</v>
      </c>
      <c r="C277" s="103" t="s">
        <v>177</v>
      </c>
      <c r="D277" s="104"/>
      <c r="E277" s="104">
        <v>7900000</v>
      </c>
      <c r="F277" s="100">
        <f t="shared" si="25"/>
        <v>-7900000</v>
      </c>
      <c r="G277" s="100">
        <f t="shared" si="25"/>
        <v>15800000</v>
      </c>
      <c r="H277" s="101" t="e">
        <f t="shared" si="24"/>
        <v>#VALUE!</v>
      </c>
      <c r="I277" s="101">
        <f t="shared" si="26"/>
        <v>-23700000</v>
      </c>
      <c r="J277" s="101">
        <f t="shared" si="24"/>
        <v>-300</v>
      </c>
    </row>
    <row r="278" spans="1:10" ht="20.100000000000001" hidden="1" customHeight="1">
      <c r="A278" s="97"/>
      <c r="B278" s="102" t="s">
        <v>1159</v>
      </c>
      <c r="C278" s="103" t="s">
        <v>283</v>
      </c>
      <c r="D278" s="104">
        <v>6600000</v>
      </c>
      <c r="E278" s="104">
        <v>6600000</v>
      </c>
      <c r="F278" s="100">
        <f t="shared" si="25"/>
        <v>0</v>
      </c>
      <c r="G278" s="100">
        <f t="shared" si="25"/>
        <v>6600000</v>
      </c>
      <c r="H278" s="101" t="e">
        <f t="shared" si="24"/>
        <v>#VALUE!</v>
      </c>
      <c r="I278" s="101">
        <f t="shared" si="26"/>
        <v>-6600000</v>
      </c>
      <c r="J278" s="101">
        <f t="shared" si="24"/>
        <v>-100</v>
      </c>
    </row>
    <row r="279" spans="1:10" ht="20.100000000000001" hidden="1" customHeight="1">
      <c r="A279" s="97"/>
      <c r="B279" s="102" t="s">
        <v>1160</v>
      </c>
      <c r="C279" s="103" t="s">
        <v>384</v>
      </c>
      <c r="D279" s="104">
        <v>1300000</v>
      </c>
      <c r="E279" s="104">
        <v>1300000</v>
      </c>
      <c r="F279" s="100">
        <f t="shared" si="25"/>
        <v>0</v>
      </c>
      <c r="G279" s="100">
        <f t="shared" si="25"/>
        <v>1300000</v>
      </c>
      <c r="H279" s="101" t="e">
        <f t="shared" si="24"/>
        <v>#VALUE!</v>
      </c>
      <c r="I279" s="101">
        <f t="shared" si="26"/>
        <v>-1300000</v>
      </c>
      <c r="J279" s="101">
        <f t="shared" si="24"/>
        <v>-100</v>
      </c>
    </row>
    <row r="280" spans="1:10" ht="20.100000000000001" hidden="1" customHeight="1">
      <c r="A280" s="97"/>
      <c r="B280" s="102" t="s">
        <v>1161</v>
      </c>
      <c r="C280" s="103" t="s">
        <v>143</v>
      </c>
      <c r="D280" s="104"/>
      <c r="E280" s="104">
        <v>398193000</v>
      </c>
      <c r="F280" s="100">
        <f t="shared" si="25"/>
        <v>-398193000</v>
      </c>
      <c r="G280" s="100">
        <f t="shared" si="25"/>
        <v>796386000</v>
      </c>
      <c r="H280" s="101" t="e">
        <f t="shared" si="24"/>
        <v>#VALUE!</v>
      </c>
      <c r="I280" s="101">
        <f t="shared" si="26"/>
        <v>-1194579000</v>
      </c>
      <c r="J280" s="101">
        <f t="shared" si="24"/>
        <v>-300</v>
      </c>
    </row>
    <row r="281" spans="1:10" ht="20.100000000000001" hidden="1" customHeight="1">
      <c r="A281" s="97"/>
      <c r="B281" s="102" t="s">
        <v>1162</v>
      </c>
      <c r="C281" s="103" t="s">
        <v>145</v>
      </c>
      <c r="D281" s="104"/>
      <c r="E281" s="104">
        <v>4801000</v>
      </c>
      <c r="F281" s="100">
        <f t="shared" si="25"/>
        <v>-4801000</v>
      </c>
      <c r="G281" s="100">
        <f t="shared" si="25"/>
        <v>9602000</v>
      </c>
      <c r="H281" s="101" t="e">
        <f t="shared" si="24"/>
        <v>#VALUE!</v>
      </c>
      <c r="I281" s="101">
        <f t="shared" si="26"/>
        <v>-14403000</v>
      </c>
      <c r="J281" s="101">
        <f t="shared" si="24"/>
        <v>-300</v>
      </c>
    </row>
    <row r="282" spans="1:10" ht="20.100000000000001" hidden="1" customHeight="1">
      <c r="A282" s="97"/>
      <c r="B282" s="102" t="s">
        <v>1163</v>
      </c>
      <c r="C282" s="103" t="s">
        <v>147</v>
      </c>
      <c r="D282" s="104">
        <v>4801000</v>
      </c>
      <c r="E282" s="104">
        <v>4801000</v>
      </c>
      <c r="F282" s="100">
        <f t="shared" si="25"/>
        <v>0</v>
      </c>
      <c r="G282" s="100">
        <f t="shared" si="25"/>
        <v>4801000</v>
      </c>
      <c r="H282" s="101" t="e">
        <f t="shared" si="24"/>
        <v>#VALUE!</v>
      </c>
      <c r="I282" s="101">
        <f t="shared" si="26"/>
        <v>-4801000</v>
      </c>
      <c r="J282" s="101">
        <f t="shared" si="24"/>
        <v>-100</v>
      </c>
    </row>
    <row r="283" spans="1:10" ht="20.100000000000001" hidden="1" customHeight="1">
      <c r="A283" s="97"/>
      <c r="B283" s="102" t="s">
        <v>1164</v>
      </c>
      <c r="C283" s="103" t="s">
        <v>389</v>
      </c>
      <c r="D283" s="104"/>
      <c r="E283" s="104">
        <v>93902000</v>
      </c>
      <c r="F283" s="100">
        <f t="shared" si="25"/>
        <v>-93902000</v>
      </c>
      <c r="G283" s="100">
        <f t="shared" si="25"/>
        <v>187804000</v>
      </c>
      <c r="H283" s="101" t="e">
        <f t="shared" si="24"/>
        <v>#VALUE!</v>
      </c>
      <c r="I283" s="101">
        <f t="shared" si="26"/>
        <v>-281706000</v>
      </c>
      <c r="J283" s="101">
        <f t="shared" si="24"/>
        <v>-300</v>
      </c>
    </row>
    <row r="284" spans="1:10" ht="20.100000000000001" hidden="1" customHeight="1">
      <c r="A284" s="97"/>
      <c r="B284" s="102" t="s">
        <v>1165</v>
      </c>
      <c r="C284" s="103" t="s">
        <v>391</v>
      </c>
      <c r="D284" s="104">
        <v>93902000</v>
      </c>
      <c r="E284" s="104">
        <v>93902000</v>
      </c>
      <c r="F284" s="100">
        <f t="shared" si="25"/>
        <v>0</v>
      </c>
      <c r="G284" s="100">
        <f t="shared" si="25"/>
        <v>93902000</v>
      </c>
      <c r="H284" s="101" t="e">
        <f t="shared" si="24"/>
        <v>#VALUE!</v>
      </c>
      <c r="I284" s="101">
        <f t="shared" si="26"/>
        <v>-93902000</v>
      </c>
      <c r="J284" s="101">
        <f t="shared" si="24"/>
        <v>-100</v>
      </c>
    </row>
    <row r="285" spans="1:10" ht="20.100000000000001" hidden="1" customHeight="1">
      <c r="A285" s="97"/>
      <c r="B285" s="102" t="s">
        <v>1166</v>
      </c>
      <c r="C285" s="103" t="s">
        <v>163</v>
      </c>
      <c r="D285" s="104"/>
      <c r="E285" s="104">
        <v>120120000</v>
      </c>
      <c r="F285" s="100">
        <f t="shared" si="25"/>
        <v>-120120000</v>
      </c>
      <c r="G285" s="100">
        <f t="shared" si="25"/>
        <v>240240000</v>
      </c>
      <c r="H285" s="101" t="e">
        <f t="shared" si="24"/>
        <v>#VALUE!</v>
      </c>
      <c r="I285" s="101">
        <f t="shared" si="26"/>
        <v>-360360000</v>
      </c>
      <c r="J285" s="101">
        <f t="shared" si="24"/>
        <v>-300</v>
      </c>
    </row>
    <row r="286" spans="1:10" ht="20.100000000000001" hidden="1" customHeight="1">
      <c r="A286" s="97"/>
      <c r="B286" s="102" t="s">
        <v>1167</v>
      </c>
      <c r="C286" s="103" t="s">
        <v>349</v>
      </c>
      <c r="D286" s="104">
        <v>1620000</v>
      </c>
      <c r="E286" s="104">
        <v>1620000</v>
      </c>
      <c r="F286" s="100">
        <f t="shared" si="25"/>
        <v>0</v>
      </c>
      <c r="G286" s="100">
        <f t="shared" si="25"/>
        <v>1620000</v>
      </c>
      <c r="H286" s="101" t="e">
        <f t="shared" si="24"/>
        <v>#VALUE!</v>
      </c>
      <c r="I286" s="101">
        <f t="shared" si="26"/>
        <v>-1620000</v>
      </c>
      <c r="J286" s="101">
        <f t="shared" si="24"/>
        <v>-100</v>
      </c>
    </row>
    <row r="287" spans="1:10" ht="20.100000000000001" hidden="1" customHeight="1">
      <c r="A287" s="97"/>
      <c r="B287" s="102" t="s">
        <v>1168</v>
      </c>
      <c r="C287" s="103" t="s">
        <v>352</v>
      </c>
      <c r="D287" s="104">
        <v>118500000</v>
      </c>
      <c r="E287" s="104">
        <v>118500000</v>
      </c>
      <c r="F287" s="100">
        <f t="shared" si="25"/>
        <v>0</v>
      </c>
      <c r="G287" s="100">
        <f t="shared" si="25"/>
        <v>118500000</v>
      </c>
      <c r="H287" s="101" t="e">
        <f t="shared" si="24"/>
        <v>#VALUE!</v>
      </c>
      <c r="I287" s="101">
        <f t="shared" si="26"/>
        <v>-118500000</v>
      </c>
      <c r="J287" s="101">
        <f t="shared" si="24"/>
        <v>-100</v>
      </c>
    </row>
    <row r="288" spans="1:10" ht="20.100000000000001" hidden="1" customHeight="1">
      <c r="A288" s="97"/>
      <c r="B288" s="102" t="s">
        <v>1169</v>
      </c>
      <c r="C288" s="103" t="s">
        <v>151</v>
      </c>
      <c r="D288" s="104"/>
      <c r="E288" s="104">
        <v>3070000</v>
      </c>
      <c r="F288" s="100">
        <f t="shared" si="25"/>
        <v>-3070000</v>
      </c>
      <c r="G288" s="100">
        <f t="shared" si="25"/>
        <v>6140000</v>
      </c>
      <c r="H288" s="101" t="e">
        <f t="shared" si="24"/>
        <v>#VALUE!</v>
      </c>
      <c r="I288" s="101">
        <f t="shared" si="26"/>
        <v>-9210000</v>
      </c>
      <c r="J288" s="101">
        <f t="shared" si="24"/>
        <v>-300</v>
      </c>
    </row>
    <row r="289" spans="1:10" ht="20.100000000000001" hidden="1" customHeight="1">
      <c r="A289" s="97"/>
      <c r="B289" s="102" t="s">
        <v>1170</v>
      </c>
      <c r="C289" s="103" t="s">
        <v>153</v>
      </c>
      <c r="D289" s="104">
        <v>1600000</v>
      </c>
      <c r="E289" s="104">
        <v>1600000</v>
      </c>
      <c r="F289" s="100">
        <f t="shared" si="25"/>
        <v>0</v>
      </c>
      <c r="G289" s="100">
        <f t="shared" si="25"/>
        <v>1600000</v>
      </c>
      <c r="H289" s="101" t="e">
        <f t="shared" si="24"/>
        <v>#VALUE!</v>
      </c>
      <c r="I289" s="101">
        <f t="shared" si="26"/>
        <v>-1600000</v>
      </c>
      <c r="J289" s="101">
        <f t="shared" si="24"/>
        <v>-100</v>
      </c>
    </row>
    <row r="290" spans="1:10" ht="20.100000000000001" hidden="1" customHeight="1">
      <c r="A290" s="97"/>
      <c r="B290" s="102" t="s">
        <v>1171</v>
      </c>
      <c r="C290" s="103" t="s">
        <v>155</v>
      </c>
      <c r="D290" s="104">
        <v>1470000</v>
      </c>
      <c r="E290" s="104">
        <v>1470000</v>
      </c>
      <c r="F290" s="100">
        <f t="shared" si="25"/>
        <v>0</v>
      </c>
      <c r="G290" s="100">
        <f t="shared" si="25"/>
        <v>1470000</v>
      </c>
      <c r="H290" s="101" t="e">
        <f t="shared" si="24"/>
        <v>#VALUE!</v>
      </c>
      <c r="I290" s="101">
        <f t="shared" si="26"/>
        <v>-1470000</v>
      </c>
      <c r="J290" s="101">
        <f t="shared" si="24"/>
        <v>-100</v>
      </c>
    </row>
    <row r="291" spans="1:10" ht="20.100000000000001" hidden="1" customHeight="1">
      <c r="A291" s="97"/>
      <c r="B291" s="102" t="s">
        <v>1172</v>
      </c>
      <c r="C291" s="103" t="s">
        <v>193</v>
      </c>
      <c r="D291" s="104"/>
      <c r="E291" s="104">
        <v>3000000</v>
      </c>
      <c r="F291" s="100">
        <f t="shared" si="25"/>
        <v>-3000000</v>
      </c>
      <c r="G291" s="100">
        <f t="shared" si="25"/>
        <v>6000000</v>
      </c>
      <c r="H291" s="101" t="e">
        <f t="shared" si="24"/>
        <v>#VALUE!</v>
      </c>
      <c r="I291" s="101">
        <f t="shared" si="26"/>
        <v>-9000000</v>
      </c>
      <c r="J291" s="101">
        <f t="shared" si="24"/>
        <v>-300</v>
      </c>
    </row>
    <row r="292" spans="1:10" ht="20.100000000000001" hidden="1" customHeight="1">
      <c r="A292" s="97"/>
      <c r="B292" s="102" t="s">
        <v>1173</v>
      </c>
      <c r="C292" s="103" t="s">
        <v>312</v>
      </c>
      <c r="D292" s="104">
        <v>3000000</v>
      </c>
      <c r="E292" s="104">
        <v>3000000</v>
      </c>
      <c r="F292" s="100">
        <f t="shared" si="25"/>
        <v>0</v>
      </c>
      <c r="G292" s="100">
        <f t="shared" si="25"/>
        <v>3000000</v>
      </c>
      <c r="H292" s="101" t="e">
        <f t="shared" si="24"/>
        <v>#VALUE!</v>
      </c>
      <c r="I292" s="101">
        <f t="shared" si="26"/>
        <v>-3000000</v>
      </c>
      <c r="J292" s="101">
        <f t="shared" si="24"/>
        <v>-100</v>
      </c>
    </row>
    <row r="293" spans="1:10" ht="20.100000000000001" hidden="1" customHeight="1">
      <c r="A293" s="97"/>
      <c r="B293" s="102" t="s">
        <v>1174</v>
      </c>
      <c r="C293" s="103" t="s">
        <v>157</v>
      </c>
      <c r="D293" s="104"/>
      <c r="E293" s="104">
        <v>16100000</v>
      </c>
      <c r="F293" s="100">
        <f t="shared" si="25"/>
        <v>-16100000</v>
      </c>
      <c r="G293" s="100">
        <f t="shared" si="25"/>
        <v>32200000</v>
      </c>
      <c r="H293" s="101" t="e">
        <f t="shared" si="24"/>
        <v>#VALUE!</v>
      </c>
      <c r="I293" s="101">
        <f t="shared" si="26"/>
        <v>-48300000</v>
      </c>
      <c r="J293" s="101">
        <f t="shared" si="24"/>
        <v>-300</v>
      </c>
    </row>
    <row r="294" spans="1:10" ht="20.100000000000001" hidden="1" customHeight="1">
      <c r="A294" s="97"/>
      <c r="B294" s="102" t="s">
        <v>1175</v>
      </c>
      <c r="C294" s="103" t="s">
        <v>159</v>
      </c>
      <c r="D294" s="104">
        <v>11500000</v>
      </c>
      <c r="E294" s="104">
        <v>11500000</v>
      </c>
      <c r="F294" s="100">
        <f t="shared" si="25"/>
        <v>0</v>
      </c>
      <c r="G294" s="100">
        <f t="shared" si="25"/>
        <v>11500000</v>
      </c>
      <c r="H294" s="101" t="e">
        <f t="shared" si="24"/>
        <v>#VALUE!</v>
      </c>
      <c r="I294" s="101">
        <f t="shared" si="26"/>
        <v>-11500000</v>
      </c>
      <c r="J294" s="101">
        <f t="shared" si="24"/>
        <v>-100</v>
      </c>
    </row>
    <row r="295" spans="1:10" ht="20.100000000000001" hidden="1" customHeight="1">
      <c r="A295" s="97"/>
      <c r="B295" s="102" t="s">
        <v>1176</v>
      </c>
      <c r="C295" s="103" t="s">
        <v>207</v>
      </c>
      <c r="D295" s="104">
        <v>4600000</v>
      </c>
      <c r="E295" s="104">
        <v>4600000</v>
      </c>
      <c r="F295" s="100">
        <f t="shared" si="25"/>
        <v>0</v>
      </c>
      <c r="G295" s="100">
        <f t="shared" si="25"/>
        <v>4600000</v>
      </c>
      <c r="H295" s="101" t="e">
        <f t="shared" si="24"/>
        <v>#VALUE!</v>
      </c>
      <c r="I295" s="101">
        <f t="shared" si="26"/>
        <v>-4600000</v>
      </c>
      <c r="J295" s="101">
        <f t="shared" si="24"/>
        <v>-100</v>
      </c>
    </row>
    <row r="296" spans="1:10" ht="20.100000000000001" hidden="1" customHeight="1">
      <c r="A296" s="97"/>
      <c r="B296" s="102" t="s">
        <v>1177</v>
      </c>
      <c r="C296" s="103" t="s">
        <v>402</v>
      </c>
      <c r="D296" s="104"/>
      <c r="E296" s="104">
        <v>157200000</v>
      </c>
      <c r="F296" s="100">
        <f t="shared" si="25"/>
        <v>-157200000</v>
      </c>
      <c r="G296" s="100">
        <f t="shared" si="25"/>
        <v>314400000</v>
      </c>
      <c r="H296" s="101" t="e">
        <f t="shared" si="24"/>
        <v>#VALUE!</v>
      </c>
      <c r="I296" s="101">
        <f t="shared" si="26"/>
        <v>-471600000</v>
      </c>
      <c r="J296" s="101">
        <f t="shared" si="24"/>
        <v>-300</v>
      </c>
    </row>
    <row r="297" spans="1:10" ht="20.100000000000001" hidden="1" customHeight="1">
      <c r="A297" s="97"/>
      <c r="B297" s="102" t="s">
        <v>1178</v>
      </c>
      <c r="C297" s="103" t="s">
        <v>404</v>
      </c>
      <c r="D297" s="104">
        <v>157200000</v>
      </c>
      <c r="E297" s="104">
        <v>157200000</v>
      </c>
      <c r="F297" s="100">
        <f t="shared" si="25"/>
        <v>0</v>
      </c>
      <c r="G297" s="100">
        <f t="shared" si="25"/>
        <v>157200000</v>
      </c>
      <c r="H297" s="101" t="e">
        <f t="shared" si="24"/>
        <v>#VALUE!</v>
      </c>
      <c r="I297" s="101">
        <f t="shared" si="26"/>
        <v>-157200000</v>
      </c>
      <c r="J297" s="101">
        <f t="shared" si="24"/>
        <v>-100</v>
      </c>
    </row>
    <row r="298" spans="1:10" ht="20.100000000000001" customHeight="1">
      <c r="A298" s="111">
        <v>20</v>
      </c>
      <c r="B298" s="193" t="s">
        <v>1179</v>
      </c>
      <c r="C298" s="195" t="s">
        <v>551</v>
      </c>
      <c r="D298" s="197">
        <f>SUM(D301:D321)</f>
        <v>122708000</v>
      </c>
      <c r="E298" s="197">
        <f>'rekap REALISASI REKO '!AB374</f>
        <v>120000000</v>
      </c>
      <c r="F298" s="197">
        <f>D298-E298</f>
        <v>2708000</v>
      </c>
      <c r="G298" s="216">
        <f>'rekap REALISASI REKO '!AQ374</f>
        <v>92417000</v>
      </c>
      <c r="H298" s="214">
        <f>G298/E298*100</f>
        <v>77.014166666666668</v>
      </c>
      <c r="I298" s="214">
        <f>E298-G298</f>
        <v>27583000</v>
      </c>
      <c r="J298" s="214">
        <f>I298/E298*100</f>
        <v>22.985833333333332</v>
      </c>
    </row>
    <row r="299" spans="1:10" ht="8.25" customHeight="1">
      <c r="A299" s="112"/>
      <c r="B299" s="194"/>
      <c r="C299" s="196"/>
      <c r="D299" s="198"/>
      <c r="E299" s="198"/>
      <c r="F299" s="198"/>
      <c r="G299" s="217"/>
      <c r="H299" s="215"/>
      <c r="I299" s="215"/>
      <c r="J299" s="215"/>
    </row>
    <row r="300" spans="1:10" ht="20.100000000000001" hidden="1" customHeight="1">
      <c r="A300" s="97"/>
      <c r="B300" s="102" t="s">
        <v>1180</v>
      </c>
      <c r="C300" s="103" t="s">
        <v>10</v>
      </c>
      <c r="D300" s="104"/>
      <c r="E300" s="104">
        <v>4890000</v>
      </c>
      <c r="F300" s="100">
        <f t="shared" si="25"/>
        <v>-4890000</v>
      </c>
      <c r="G300" s="100">
        <f t="shared" si="25"/>
        <v>9780000</v>
      </c>
      <c r="H300" s="101" t="e">
        <f t="shared" si="24"/>
        <v>#VALUE!</v>
      </c>
      <c r="I300" s="101">
        <f t="shared" ref="I300:I321" si="27">F300-G300</f>
        <v>-14670000</v>
      </c>
      <c r="J300" s="101">
        <f t="shared" si="24"/>
        <v>-300</v>
      </c>
    </row>
    <row r="301" spans="1:10" ht="20.100000000000001" hidden="1" customHeight="1">
      <c r="A301" s="97"/>
      <c r="B301" s="102" t="s">
        <v>1181</v>
      </c>
      <c r="C301" s="103" t="s">
        <v>177</v>
      </c>
      <c r="D301" s="104"/>
      <c r="E301" s="104">
        <v>3900000</v>
      </c>
      <c r="F301" s="100">
        <f t="shared" si="25"/>
        <v>-3900000</v>
      </c>
      <c r="G301" s="100">
        <f t="shared" si="25"/>
        <v>7800000</v>
      </c>
      <c r="H301" s="101" t="e">
        <f t="shared" si="24"/>
        <v>#VALUE!</v>
      </c>
      <c r="I301" s="101">
        <f t="shared" si="27"/>
        <v>-11700000</v>
      </c>
      <c r="J301" s="101">
        <f t="shared" si="24"/>
        <v>-300</v>
      </c>
    </row>
    <row r="302" spans="1:10" ht="20.100000000000001" hidden="1" customHeight="1">
      <c r="A302" s="97"/>
      <c r="B302" s="102" t="s">
        <v>1182</v>
      </c>
      <c r="C302" s="103" t="s">
        <v>283</v>
      </c>
      <c r="D302" s="104">
        <v>3900000</v>
      </c>
      <c r="E302" s="104">
        <v>3900000</v>
      </c>
      <c r="F302" s="100">
        <f t="shared" si="25"/>
        <v>0</v>
      </c>
      <c r="G302" s="100">
        <f t="shared" si="25"/>
        <v>3900000</v>
      </c>
      <c r="H302" s="101" t="e">
        <f t="shared" si="24"/>
        <v>#VALUE!</v>
      </c>
      <c r="I302" s="101">
        <f t="shared" si="27"/>
        <v>-3900000</v>
      </c>
      <c r="J302" s="101">
        <f t="shared" si="24"/>
        <v>-100</v>
      </c>
    </row>
    <row r="303" spans="1:10" ht="20.100000000000001" hidden="1" customHeight="1">
      <c r="A303" s="97"/>
      <c r="B303" s="102" t="s">
        <v>1183</v>
      </c>
      <c r="C303" s="103" t="s">
        <v>341</v>
      </c>
      <c r="D303" s="104"/>
      <c r="E303" s="104">
        <v>990000</v>
      </c>
      <c r="F303" s="100">
        <f t="shared" si="25"/>
        <v>-990000</v>
      </c>
      <c r="G303" s="100">
        <f t="shared" si="25"/>
        <v>1980000</v>
      </c>
      <c r="H303" s="101" t="e">
        <f t="shared" si="24"/>
        <v>#VALUE!</v>
      </c>
      <c r="I303" s="101">
        <f t="shared" si="27"/>
        <v>-2970000</v>
      </c>
      <c r="J303" s="101">
        <f t="shared" si="24"/>
        <v>-300</v>
      </c>
    </row>
    <row r="304" spans="1:10" ht="20.100000000000001" hidden="1" customHeight="1">
      <c r="A304" s="97"/>
      <c r="B304" s="102" t="s">
        <v>1184</v>
      </c>
      <c r="C304" s="103" t="s">
        <v>1185</v>
      </c>
      <c r="D304" s="104">
        <v>990000</v>
      </c>
      <c r="E304" s="104">
        <v>990000</v>
      </c>
      <c r="F304" s="100">
        <f t="shared" si="25"/>
        <v>0</v>
      </c>
      <c r="G304" s="100">
        <f t="shared" si="25"/>
        <v>990000</v>
      </c>
      <c r="H304" s="101" t="e">
        <f t="shared" si="24"/>
        <v>#VALUE!</v>
      </c>
      <c r="I304" s="101">
        <f t="shared" si="27"/>
        <v>-990000</v>
      </c>
      <c r="J304" s="101">
        <f t="shared" si="24"/>
        <v>-100</v>
      </c>
    </row>
    <row r="305" spans="1:10" ht="20.100000000000001" hidden="1" customHeight="1">
      <c r="A305" s="97"/>
      <c r="B305" s="102" t="s">
        <v>1186</v>
      </c>
      <c r="C305" s="103" t="s">
        <v>143</v>
      </c>
      <c r="D305" s="104"/>
      <c r="E305" s="104">
        <v>117818000</v>
      </c>
      <c r="F305" s="100">
        <f t="shared" si="25"/>
        <v>-117818000</v>
      </c>
      <c r="G305" s="100">
        <f t="shared" si="25"/>
        <v>235636000</v>
      </c>
      <c r="H305" s="101" t="e">
        <f t="shared" si="24"/>
        <v>#VALUE!</v>
      </c>
      <c r="I305" s="101">
        <f t="shared" si="27"/>
        <v>-353454000</v>
      </c>
      <c r="J305" s="101">
        <f t="shared" si="24"/>
        <v>-300</v>
      </c>
    </row>
    <row r="306" spans="1:10" ht="20.100000000000001" hidden="1" customHeight="1">
      <c r="A306" s="97"/>
      <c r="B306" s="102" t="s">
        <v>1187</v>
      </c>
      <c r="C306" s="103" t="s">
        <v>145</v>
      </c>
      <c r="D306" s="104"/>
      <c r="E306" s="104">
        <v>1540000</v>
      </c>
      <c r="F306" s="100">
        <f t="shared" si="25"/>
        <v>-1540000</v>
      </c>
      <c r="G306" s="100">
        <f t="shared" si="25"/>
        <v>3080000</v>
      </c>
      <c r="H306" s="101" t="e">
        <f t="shared" si="24"/>
        <v>#VALUE!</v>
      </c>
      <c r="I306" s="101">
        <f t="shared" si="27"/>
        <v>-4620000</v>
      </c>
      <c r="J306" s="101">
        <f t="shared" si="24"/>
        <v>-300</v>
      </c>
    </row>
    <row r="307" spans="1:10" ht="20.100000000000001" hidden="1" customHeight="1">
      <c r="A307" s="97"/>
      <c r="B307" s="102" t="s">
        <v>1188</v>
      </c>
      <c r="C307" s="103" t="s">
        <v>147</v>
      </c>
      <c r="D307" s="104">
        <v>1540000</v>
      </c>
      <c r="E307" s="104">
        <v>1540000</v>
      </c>
      <c r="F307" s="100">
        <f t="shared" si="25"/>
        <v>0</v>
      </c>
      <c r="G307" s="100">
        <f t="shared" si="25"/>
        <v>1540000</v>
      </c>
      <c r="H307" s="101" t="e">
        <f t="shared" si="24"/>
        <v>#VALUE!</v>
      </c>
      <c r="I307" s="101">
        <f t="shared" si="27"/>
        <v>-1540000</v>
      </c>
      <c r="J307" s="101">
        <f t="shared" si="24"/>
        <v>-100</v>
      </c>
    </row>
    <row r="308" spans="1:10" ht="20.100000000000001" hidden="1" customHeight="1">
      <c r="A308" s="97"/>
      <c r="B308" s="102" t="s">
        <v>1189</v>
      </c>
      <c r="C308" s="103" t="s">
        <v>163</v>
      </c>
      <c r="D308" s="104"/>
      <c r="E308" s="104">
        <v>19706000</v>
      </c>
      <c r="F308" s="100">
        <f t="shared" si="25"/>
        <v>-19706000</v>
      </c>
      <c r="G308" s="100">
        <f t="shared" si="25"/>
        <v>39412000</v>
      </c>
      <c r="H308" s="101" t="e">
        <f t="shared" si="24"/>
        <v>#VALUE!</v>
      </c>
      <c r="I308" s="101">
        <f t="shared" si="27"/>
        <v>-59118000</v>
      </c>
      <c r="J308" s="101">
        <f t="shared" si="24"/>
        <v>-300</v>
      </c>
    </row>
    <row r="309" spans="1:10" ht="20.100000000000001" hidden="1" customHeight="1">
      <c r="A309" s="97"/>
      <c r="B309" s="102" t="s">
        <v>1190</v>
      </c>
      <c r="C309" s="103" t="s">
        <v>349</v>
      </c>
      <c r="D309" s="104">
        <v>19706000</v>
      </c>
      <c r="E309" s="104">
        <v>19706000</v>
      </c>
      <c r="F309" s="100">
        <f t="shared" si="25"/>
        <v>0</v>
      </c>
      <c r="G309" s="100">
        <f t="shared" si="25"/>
        <v>19706000</v>
      </c>
      <c r="H309" s="101" t="e">
        <f t="shared" si="24"/>
        <v>#VALUE!</v>
      </c>
      <c r="I309" s="101">
        <f t="shared" si="27"/>
        <v>-19706000</v>
      </c>
      <c r="J309" s="101">
        <f t="shared" si="24"/>
        <v>-100</v>
      </c>
    </row>
    <row r="310" spans="1:10" ht="20.100000000000001" hidden="1" customHeight="1">
      <c r="A310" s="97"/>
      <c r="B310" s="102" t="s">
        <v>1191</v>
      </c>
      <c r="C310" s="103" t="s">
        <v>151</v>
      </c>
      <c r="D310" s="104"/>
      <c r="E310" s="104">
        <v>5156000</v>
      </c>
      <c r="F310" s="100">
        <f t="shared" si="25"/>
        <v>-5156000</v>
      </c>
      <c r="G310" s="100">
        <f t="shared" si="25"/>
        <v>10312000</v>
      </c>
      <c r="H310" s="101" t="e">
        <f t="shared" si="24"/>
        <v>#VALUE!</v>
      </c>
      <c r="I310" s="101">
        <f t="shared" si="27"/>
        <v>-15468000</v>
      </c>
      <c r="J310" s="101">
        <f t="shared" si="24"/>
        <v>-300</v>
      </c>
    </row>
    <row r="311" spans="1:10" ht="20.100000000000001" hidden="1" customHeight="1">
      <c r="A311" s="97"/>
      <c r="B311" s="102" t="s">
        <v>1192</v>
      </c>
      <c r="C311" s="103" t="s">
        <v>153</v>
      </c>
      <c r="D311" s="104">
        <v>3305000</v>
      </c>
      <c r="E311" s="104">
        <v>3305000</v>
      </c>
      <c r="F311" s="100">
        <f t="shared" si="25"/>
        <v>0</v>
      </c>
      <c r="G311" s="100">
        <f t="shared" si="25"/>
        <v>3305000</v>
      </c>
      <c r="H311" s="101" t="e">
        <f t="shared" si="24"/>
        <v>#VALUE!</v>
      </c>
      <c r="I311" s="101">
        <f t="shared" si="27"/>
        <v>-3305000</v>
      </c>
      <c r="J311" s="101">
        <f t="shared" si="24"/>
        <v>-100</v>
      </c>
    </row>
    <row r="312" spans="1:10" ht="20.100000000000001" hidden="1" customHeight="1">
      <c r="A312" s="97"/>
      <c r="B312" s="102" t="s">
        <v>1193</v>
      </c>
      <c r="C312" s="103" t="s">
        <v>155</v>
      </c>
      <c r="D312" s="104">
        <v>1851000</v>
      </c>
      <c r="E312" s="104">
        <v>1851000</v>
      </c>
      <c r="F312" s="100">
        <f t="shared" si="25"/>
        <v>0</v>
      </c>
      <c r="G312" s="100">
        <f t="shared" si="25"/>
        <v>1851000</v>
      </c>
      <c r="H312" s="101" t="e">
        <f t="shared" si="24"/>
        <v>#VALUE!</v>
      </c>
      <c r="I312" s="101">
        <f t="shared" si="27"/>
        <v>-1851000</v>
      </c>
      <c r="J312" s="101">
        <f t="shared" si="24"/>
        <v>-100</v>
      </c>
    </row>
    <row r="313" spans="1:10" ht="20.100000000000001" hidden="1" customHeight="1">
      <c r="A313" s="97"/>
      <c r="B313" s="102" t="s">
        <v>1194</v>
      </c>
      <c r="C313" s="103" t="s">
        <v>712</v>
      </c>
      <c r="D313" s="104"/>
      <c r="E313" s="104">
        <v>61000000</v>
      </c>
      <c r="F313" s="100">
        <f t="shared" si="25"/>
        <v>-61000000</v>
      </c>
      <c r="G313" s="100">
        <f t="shared" si="25"/>
        <v>122000000</v>
      </c>
      <c r="H313" s="101" t="e">
        <f t="shared" si="24"/>
        <v>#VALUE!</v>
      </c>
      <c r="I313" s="101">
        <f t="shared" si="27"/>
        <v>-183000000</v>
      </c>
      <c r="J313" s="101">
        <f t="shared" si="24"/>
        <v>-300</v>
      </c>
    </row>
    <row r="314" spans="1:10" ht="20.100000000000001" hidden="1" customHeight="1">
      <c r="A314" s="97"/>
      <c r="B314" s="102" t="s">
        <v>1195</v>
      </c>
      <c r="C314" s="103" t="s">
        <v>714</v>
      </c>
      <c r="D314" s="104">
        <v>61000000</v>
      </c>
      <c r="E314" s="104">
        <v>61000000</v>
      </c>
      <c r="F314" s="100">
        <f t="shared" si="25"/>
        <v>0</v>
      </c>
      <c r="G314" s="100">
        <f t="shared" si="25"/>
        <v>61000000</v>
      </c>
      <c r="H314" s="101" t="e">
        <f t="shared" si="24"/>
        <v>#VALUE!</v>
      </c>
      <c r="I314" s="101">
        <f t="shared" si="27"/>
        <v>-61000000</v>
      </c>
      <c r="J314" s="101">
        <f t="shared" si="24"/>
        <v>-100</v>
      </c>
    </row>
    <row r="315" spans="1:10" ht="20.100000000000001" hidden="1" customHeight="1">
      <c r="A315" s="97"/>
      <c r="B315" s="102" t="s">
        <v>1196</v>
      </c>
      <c r="C315" s="103" t="s">
        <v>565</v>
      </c>
      <c r="D315" s="104"/>
      <c r="E315" s="104">
        <v>1527000</v>
      </c>
      <c r="F315" s="100">
        <f t="shared" si="25"/>
        <v>-1527000</v>
      </c>
      <c r="G315" s="100">
        <f t="shared" si="25"/>
        <v>3054000</v>
      </c>
      <c r="H315" s="101" t="e">
        <f t="shared" si="24"/>
        <v>#VALUE!</v>
      </c>
      <c r="I315" s="101">
        <f t="shared" si="27"/>
        <v>-4581000</v>
      </c>
      <c r="J315" s="101">
        <f t="shared" si="24"/>
        <v>-300</v>
      </c>
    </row>
    <row r="316" spans="1:10" ht="20.100000000000001" hidden="1" customHeight="1">
      <c r="A316" s="97"/>
      <c r="B316" s="102" t="s">
        <v>1197</v>
      </c>
      <c r="C316" s="103" t="s">
        <v>567</v>
      </c>
      <c r="D316" s="104">
        <v>1527000</v>
      </c>
      <c r="E316" s="104">
        <v>1527000</v>
      </c>
      <c r="F316" s="100">
        <f t="shared" si="25"/>
        <v>0</v>
      </c>
      <c r="G316" s="100">
        <f t="shared" si="25"/>
        <v>1527000</v>
      </c>
      <c r="H316" s="101" t="e">
        <f t="shared" si="24"/>
        <v>#VALUE!</v>
      </c>
      <c r="I316" s="101">
        <f t="shared" si="27"/>
        <v>-1527000</v>
      </c>
      <c r="J316" s="101">
        <f t="shared" si="24"/>
        <v>-100</v>
      </c>
    </row>
    <row r="317" spans="1:10" ht="20.100000000000001" hidden="1" customHeight="1">
      <c r="A317" s="97"/>
      <c r="B317" s="102" t="s">
        <v>1198</v>
      </c>
      <c r="C317" s="103" t="s">
        <v>193</v>
      </c>
      <c r="D317" s="104"/>
      <c r="E317" s="104">
        <v>7809000</v>
      </c>
      <c r="F317" s="100">
        <f t="shared" si="25"/>
        <v>-7809000</v>
      </c>
      <c r="G317" s="100">
        <f t="shared" si="25"/>
        <v>15618000</v>
      </c>
      <c r="H317" s="101" t="e">
        <f t="shared" si="24"/>
        <v>#VALUE!</v>
      </c>
      <c r="I317" s="101">
        <f t="shared" si="27"/>
        <v>-23427000</v>
      </c>
      <c r="J317" s="101">
        <f t="shared" si="24"/>
        <v>-300</v>
      </c>
    </row>
    <row r="318" spans="1:10" ht="20.100000000000001" hidden="1" customHeight="1">
      <c r="A318" s="97"/>
      <c r="B318" s="102" t="s">
        <v>1199</v>
      </c>
      <c r="C318" s="103" t="s">
        <v>312</v>
      </c>
      <c r="D318" s="104">
        <v>7809000</v>
      </c>
      <c r="E318" s="104">
        <v>7809000</v>
      </c>
      <c r="F318" s="100">
        <f t="shared" si="25"/>
        <v>0</v>
      </c>
      <c r="G318" s="100">
        <f t="shared" si="25"/>
        <v>7809000</v>
      </c>
      <c r="H318" s="101" t="e">
        <f t="shared" si="24"/>
        <v>#VALUE!</v>
      </c>
      <c r="I318" s="101">
        <f t="shared" si="27"/>
        <v>-7809000</v>
      </c>
      <c r="J318" s="101">
        <f t="shared" si="24"/>
        <v>-100</v>
      </c>
    </row>
    <row r="319" spans="1:10" ht="20.100000000000001" hidden="1" customHeight="1">
      <c r="A319" s="97"/>
      <c r="B319" s="102" t="s">
        <v>1200</v>
      </c>
      <c r="C319" s="103" t="s">
        <v>157</v>
      </c>
      <c r="D319" s="104"/>
      <c r="E319" s="104">
        <v>21080000</v>
      </c>
      <c r="F319" s="100">
        <f t="shared" si="25"/>
        <v>-21080000</v>
      </c>
      <c r="G319" s="100">
        <f t="shared" si="25"/>
        <v>42160000</v>
      </c>
      <c r="H319" s="101" t="e">
        <f t="shared" si="24"/>
        <v>#VALUE!</v>
      </c>
      <c r="I319" s="101">
        <f t="shared" si="27"/>
        <v>-63240000</v>
      </c>
      <c r="J319" s="101">
        <f t="shared" si="24"/>
        <v>-300</v>
      </c>
    </row>
    <row r="320" spans="1:10" ht="20.100000000000001" hidden="1" customHeight="1">
      <c r="A320" s="97"/>
      <c r="B320" s="102" t="s">
        <v>1201</v>
      </c>
      <c r="C320" s="103" t="s">
        <v>159</v>
      </c>
      <c r="D320" s="104">
        <v>9280000</v>
      </c>
      <c r="E320" s="104">
        <v>9280000</v>
      </c>
      <c r="F320" s="100">
        <f t="shared" si="25"/>
        <v>0</v>
      </c>
      <c r="G320" s="100">
        <f t="shared" si="25"/>
        <v>9280000</v>
      </c>
      <c r="H320" s="101" t="e">
        <f t="shared" si="24"/>
        <v>#VALUE!</v>
      </c>
      <c r="I320" s="101">
        <f t="shared" si="27"/>
        <v>-9280000</v>
      </c>
      <c r="J320" s="101">
        <f t="shared" si="24"/>
        <v>-100</v>
      </c>
    </row>
    <row r="321" spans="1:10" ht="20.100000000000001" hidden="1" customHeight="1">
      <c r="A321" s="97"/>
      <c r="B321" s="102" t="s">
        <v>1202</v>
      </c>
      <c r="C321" s="103" t="s">
        <v>207</v>
      </c>
      <c r="D321" s="104">
        <v>11800000</v>
      </c>
      <c r="E321" s="104">
        <v>11800000</v>
      </c>
      <c r="F321" s="100">
        <f t="shared" si="25"/>
        <v>0</v>
      </c>
      <c r="G321" s="100">
        <f t="shared" si="25"/>
        <v>11800000</v>
      </c>
      <c r="H321" s="101" t="e">
        <f t="shared" si="24"/>
        <v>#VALUE!</v>
      </c>
      <c r="I321" s="101">
        <f t="shared" si="27"/>
        <v>-11800000</v>
      </c>
      <c r="J321" s="101">
        <f t="shared" si="24"/>
        <v>-100</v>
      </c>
    </row>
    <row r="322" spans="1:10" ht="20.100000000000001" customHeight="1">
      <c r="A322" s="111">
        <v>21</v>
      </c>
      <c r="B322" s="193" t="s">
        <v>1203</v>
      </c>
      <c r="C322" s="195" t="s">
        <v>576</v>
      </c>
      <c r="D322" s="197">
        <f>SUM(D325:D343)</f>
        <v>274332000</v>
      </c>
      <c r="E322" s="197">
        <f>'rekap REALISASI REKO '!AB395</f>
        <v>257000000</v>
      </c>
      <c r="F322" s="197">
        <f>D322-E322</f>
        <v>17332000</v>
      </c>
      <c r="G322" s="216">
        <v>132667400</v>
      </c>
      <c r="H322" s="214">
        <f>G322/E322*100</f>
        <v>51.62155642023346</v>
      </c>
      <c r="I322" s="214">
        <f>E322-G322</f>
        <v>124332600</v>
      </c>
      <c r="J322" s="214">
        <f>I322/E322*100</f>
        <v>48.37844357976654</v>
      </c>
    </row>
    <row r="323" spans="1:10" ht="20.100000000000001" customHeight="1">
      <c r="A323" s="112"/>
      <c r="B323" s="194"/>
      <c r="C323" s="196"/>
      <c r="D323" s="198"/>
      <c r="E323" s="198"/>
      <c r="F323" s="198"/>
      <c r="G323" s="217"/>
      <c r="H323" s="215"/>
      <c r="I323" s="215"/>
      <c r="J323" s="215"/>
    </row>
    <row r="324" spans="1:10" ht="20.100000000000001" hidden="1" customHeight="1">
      <c r="A324" s="97"/>
      <c r="B324" s="102" t="s">
        <v>1204</v>
      </c>
      <c r="C324" s="103" t="s">
        <v>10</v>
      </c>
      <c r="D324" s="104"/>
      <c r="E324" s="104">
        <v>83600000</v>
      </c>
      <c r="F324" s="100">
        <f t="shared" si="25"/>
        <v>-83600000</v>
      </c>
      <c r="G324" s="100">
        <f t="shared" si="25"/>
        <v>167200000</v>
      </c>
      <c r="H324" s="101" t="e">
        <f t="shared" si="24"/>
        <v>#VALUE!</v>
      </c>
      <c r="I324" s="101">
        <f t="shared" ref="I324:I343" si="28">F324-G324</f>
        <v>-250800000</v>
      </c>
      <c r="J324" s="101">
        <f t="shared" si="24"/>
        <v>-300</v>
      </c>
    </row>
    <row r="325" spans="1:10" ht="20.100000000000001" hidden="1" customHeight="1">
      <c r="A325" s="97"/>
      <c r="B325" s="102" t="s">
        <v>1205</v>
      </c>
      <c r="C325" s="103" t="s">
        <v>177</v>
      </c>
      <c r="D325" s="104"/>
      <c r="E325" s="104">
        <v>10600000</v>
      </c>
      <c r="F325" s="100">
        <f t="shared" si="25"/>
        <v>-10600000</v>
      </c>
      <c r="G325" s="100">
        <f t="shared" si="25"/>
        <v>21200000</v>
      </c>
      <c r="H325" s="101" t="e">
        <f t="shared" si="24"/>
        <v>#VALUE!</v>
      </c>
      <c r="I325" s="101">
        <f t="shared" si="28"/>
        <v>-31800000</v>
      </c>
      <c r="J325" s="101">
        <f t="shared" si="24"/>
        <v>-300</v>
      </c>
    </row>
    <row r="326" spans="1:10" ht="20.100000000000001" hidden="1" customHeight="1">
      <c r="A326" s="97"/>
      <c r="B326" s="102" t="s">
        <v>1206</v>
      </c>
      <c r="C326" s="103" t="s">
        <v>283</v>
      </c>
      <c r="D326" s="104">
        <v>10600000</v>
      </c>
      <c r="E326" s="104">
        <v>10600000</v>
      </c>
      <c r="F326" s="100">
        <f t="shared" si="25"/>
        <v>0</v>
      </c>
      <c r="G326" s="100">
        <f t="shared" si="25"/>
        <v>10600000</v>
      </c>
      <c r="H326" s="101" t="e">
        <f t="shared" si="24"/>
        <v>#VALUE!</v>
      </c>
      <c r="I326" s="101">
        <f t="shared" si="28"/>
        <v>-10600000</v>
      </c>
      <c r="J326" s="101">
        <f t="shared" si="24"/>
        <v>-100</v>
      </c>
    </row>
    <row r="327" spans="1:10" ht="20.100000000000001" hidden="1" customHeight="1">
      <c r="A327" s="97"/>
      <c r="B327" s="102" t="s">
        <v>1207</v>
      </c>
      <c r="C327" s="103" t="s">
        <v>341</v>
      </c>
      <c r="D327" s="104"/>
      <c r="E327" s="104">
        <v>73000000</v>
      </c>
      <c r="F327" s="100">
        <f t="shared" si="25"/>
        <v>-73000000</v>
      </c>
      <c r="G327" s="100">
        <f t="shared" si="25"/>
        <v>146000000</v>
      </c>
      <c r="H327" s="101" t="e">
        <f t="shared" si="24"/>
        <v>#VALUE!</v>
      </c>
      <c r="I327" s="101">
        <f t="shared" si="28"/>
        <v>-219000000</v>
      </c>
      <c r="J327" s="101">
        <f t="shared" si="24"/>
        <v>-300</v>
      </c>
    </row>
    <row r="328" spans="1:10" ht="20.100000000000001" hidden="1" customHeight="1">
      <c r="A328" s="97"/>
      <c r="B328" s="102" t="s">
        <v>1208</v>
      </c>
      <c r="C328" s="103" t="s">
        <v>283</v>
      </c>
      <c r="D328" s="104">
        <v>73000000</v>
      </c>
      <c r="E328" s="104">
        <v>73000000</v>
      </c>
      <c r="F328" s="100">
        <f t="shared" si="25"/>
        <v>0</v>
      </c>
      <c r="G328" s="100">
        <f t="shared" si="25"/>
        <v>73000000</v>
      </c>
      <c r="H328" s="101" t="e">
        <f t="shared" si="24"/>
        <v>#VALUE!</v>
      </c>
      <c r="I328" s="101">
        <f t="shared" si="28"/>
        <v>-73000000</v>
      </c>
      <c r="J328" s="101">
        <f t="shared" si="24"/>
        <v>-100</v>
      </c>
    </row>
    <row r="329" spans="1:10" ht="20.100000000000001" hidden="1" customHeight="1">
      <c r="A329" s="97"/>
      <c r="B329" s="102" t="s">
        <v>1209</v>
      </c>
      <c r="C329" s="103" t="s">
        <v>143</v>
      </c>
      <c r="D329" s="104"/>
      <c r="E329" s="104">
        <v>190732000</v>
      </c>
      <c r="F329" s="100">
        <f t="shared" si="25"/>
        <v>-190732000</v>
      </c>
      <c r="G329" s="100">
        <f t="shared" si="25"/>
        <v>381464000</v>
      </c>
      <c r="H329" s="101" t="e">
        <f t="shared" si="24"/>
        <v>#VALUE!</v>
      </c>
      <c r="I329" s="101">
        <f t="shared" si="28"/>
        <v>-572196000</v>
      </c>
      <c r="J329" s="101">
        <f t="shared" si="24"/>
        <v>-300</v>
      </c>
    </row>
    <row r="330" spans="1:10" ht="20.100000000000001" hidden="1" customHeight="1">
      <c r="A330" s="97"/>
      <c r="B330" s="102" t="s">
        <v>1210</v>
      </c>
      <c r="C330" s="103" t="s">
        <v>145</v>
      </c>
      <c r="D330" s="104"/>
      <c r="E330" s="104">
        <v>4158000</v>
      </c>
      <c r="F330" s="100">
        <f t="shared" si="25"/>
        <v>-4158000</v>
      </c>
      <c r="G330" s="100">
        <f t="shared" si="25"/>
        <v>8316000</v>
      </c>
      <c r="H330" s="101" t="e">
        <f t="shared" ref="H330:J393" si="29">G330/C330*100</f>
        <v>#VALUE!</v>
      </c>
      <c r="I330" s="101">
        <f t="shared" si="28"/>
        <v>-12474000</v>
      </c>
      <c r="J330" s="101">
        <f t="shared" si="29"/>
        <v>-300</v>
      </c>
    </row>
    <row r="331" spans="1:10" ht="20.100000000000001" hidden="1" customHeight="1">
      <c r="A331" s="97"/>
      <c r="B331" s="102" t="s">
        <v>1211</v>
      </c>
      <c r="C331" s="103" t="s">
        <v>147</v>
      </c>
      <c r="D331" s="104">
        <v>4158000</v>
      </c>
      <c r="E331" s="104">
        <v>4158000</v>
      </c>
      <c r="F331" s="100">
        <f t="shared" ref="F331:G394" si="30">D331-E331</f>
        <v>0</v>
      </c>
      <c r="G331" s="100">
        <f t="shared" si="30"/>
        <v>4158000</v>
      </c>
      <c r="H331" s="101" t="e">
        <f t="shared" si="29"/>
        <v>#VALUE!</v>
      </c>
      <c r="I331" s="101">
        <f t="shared" si="28"/>
        <v>-4158000</v>
      </c>
      <c r="J331" s="101">
        <f t="shared" si="29"/>
        <v>-100</v>
      </c>
    </row>
    <row r="332" spans="1:10" ht="20.100000000000001" hidden="1" customHeight="1">
      <c r="A332" s="97"/>
      <c r="B332" s="102" t="s">
        <v>1212</v>
      </c>
      <c r="C332" s="103" t="s">
        <v>163</v>
      </c>
      <c r="D332" s="104"/>
      <c r="E332" s="104">
        <v>57500000</v>
      </c>
      <c r="F332" s="100">
        <f t="shared" si="30"/>
        <v>-57500000</v>
      </c>
      <c r="G332" s="100">
        <f t="shared" si="30"/>
        <v>115000000</v>
      </c>
      <c r="H332" s="101" t="e">
        <f t="shared" si="29"/>
        <v>#VALUE!</v>
      </c>
      <c r="I332" s="101">
        <f t="shared" si="28"/>
        <v>-172500000</v>
      </c>
      <c r="J332" s="101">
        <f t="shared" si="29"/>
        <v>-300</v>
      </c>
    </row>
    <row r="333" spans="1:10" ht="20.100000000000001" hidden="1" customHeight="1">
      <c r="A333" s="97"/>
      <c r="B333" s="102" t="s">
        <v>1213</v>
      </c>
      <c r="C333" s="103" t="s">
        <v>447</v>
      </c>
      <c r="D333" s="104">
        <v>15000000</v>
      </c>
      <c r="E333" s="104">
        <v>15000000</v>
      </c>
      <c r="F333" s="100">
        <f t="shared" si="30"/>
        <v>0</v>
      </c>
      <c r="G333" s="100">
        <f t="shared" si="30"/>
        <v>15000000</v>
      </c>
      <c r="H333" s="101" t="e">
        <f t="shared" si="29"/>
        <v>#VALUE!</v>
      </c>
      <c r="I333" s="101">
        <f t="shared" si="28"/>
        <v>-15000000</v>
      </c>
      <c r="J333" s="101">
        <f t="shared" si="29"/>
        <v>-100</v>
      </c>
    </row>
    <row r="334" spans="1:10" ht="20.100000000000001" hidden="1" customHeight="1">
      <c r="A334" s="97"/>
      <c r="B334" s="102" t="s">
        <v>1214</v>
      </c>
      <c r="C334" s="103" t="s">
        <v>352</v>
      </c>
      <c r="D334" s="104">
        <v>42500000</v>
      </c>
      <c r="E334" s="104">
        <v>42500000</v>
      </c>
      <c r="F334" s="100">
        <f t="shared" si="30"/>
        <v>0</v>
      </c>
      <c r="G334" s="100">
        <f t="shared" si="30"/>
        <v>42500000</v>
      </c>
      <c r="H334" s="101" t="e">
        <f t="shared" si="29"/>
        <v>#VALUE!</v>
      </c>
      <c r="I334" s="101">
        <f t="shared" si="28"/>
        <v>-42500000</v>
      </c>
      <c r="J334" s="101">
        <f t="shared" si="29"/>
        <v>-100</v>
      </c>
    </row>
    <row r="335" spans="1:10" ht="20.100000000000001" hidden="1" customHeight="1">
      <c r="A335" s="97"/>
      <c r="B335" s="102" t="s">
        <v>1215</v>
      </c>
      <c r="C335" s="103" t="s">
        <v>151</v>
      </c>
      <c r="D335" s="104"/>
      <c r="E335" s="104">
        <v>3159000</v>
      </c>
      <c r="F335" s="100">
        <f t="shared" si="30"/>
        <v>-3159000</v>
      </c>
      <c r="G335" s="100">
        <f t="shared" si="30"/>
        <v>6318000</v>
      </c>
      <c r="H335" s="101" t="e">
        <f t="shared" si="29"/>
        <v>#VALUE!</v>
      </c>
      <c r="I335" s="101">
        <f t="shared" si="28"/>
        <v>-9477000</v>
      </c>
      <c r="J335" s="101">
        <f t="shared" si="29"/>
        <v>-300</v>
      </c>
    </row>
    <row r="336" spans="1:10" ht="20.100000000000001" hidden="1" customHeight="1">
      <c r="A336" s="97"/>
      <c r="B336" s="102" t="s">
        <v>1216</v>
      </c>
      <c r="C336" s="103" t="s">
        <v>155</v>
      </c>
      <c r="D336" s="104">
        <v>3159000</v>
      </c>
      <c r="E336" s="104">
        <v>3159000</v>
      </c>
      <c r="F336" s="100">
        <f t="shared" si="30"/>
        <v>0</v>
      </c>
      <c r="G336" s="100">
        <f t="shared" si="30"/>
        <v>3159000</v>
      </c>
      <c r="H336" s="101" t="e">
        <f t="shared" si="29"/>
        <v>#VALUE!</v>
      </c>
      <c r="I336" s="101">
        <f t="shared" si="28"/>
        <v>-3159000</v>
      </c>
      <c r="J336" s="101">
        <f t="shared" si="29"/>
        <v>-100</v>
      </c>
    </row>
    <row r="337" spans="1:10" ht="20.100000000000001" hidden="1" customHeight="1">
      <c r="A337" s="97"/>
      <c r="B337" s="102" t="s">
        <v>1217</v>
      </c>
      <c r="C337" s="103" t="s">
        <v>193</v>
      </c>
      <c r="D337" s="104"/>
      <c r="E337" s="104">
        <v>43335000</v>
      </c>
      <c r="F337" s="100">
        <f t="shared" si="30"/>
        <v>-43335000</v>
      </c>
      <c r="G337" s="100">
        <f t="shared" si="30"/>
        <v>86670000</v>
      </c>
      <c r="H337" s="101" t="e">
        <f t="shared" si="29"/>
        <v>#VALUE!</v>
      </c>
      <c r="I337" s="101">
        <f t="shared" si="28"/>
        <v>-130005000</v>
      </c>
      <c r="J337" s="101">
        <f t="shared" si="29"/>
        <v>-300</v>
      </c>
    </row>
    <row r="338" spans="1:10" ht="20.100000000000001" hidden="1" customHeight="1">
      <c r="A338" s="97"/>
      <c r="B338" s="102" t="s">
        <v>1218</v>
      </c>
      <c r="C338" s="103" t="s">
        <v>312</v>
      </c>
      <c r="D338" s="104">
        <v>43335000</v>
      </c>
      <c r="E338" s="104">
        <v>43335000</v>
      </c>
      <c r="F338" s="100">
        <f t="shared" si="30"/>
        <v>0</v>
      </c>
      <c r="G338" s="100">
        <f t="shared" si="30"/>
        <v>43335000</v>
      </c>
      <c r="H338" s="101" t="e">
        <f t="shared" si="29"/>
        <v>#VALUE!</v>
      </c>
      <c r="I338" s="101">
        <f t="shared" si="28"/>
        <v>-43335000</v>
      </c>
      <c r="J338" s="101">
        <f t="shared" si="29"/>
        <v>-100</v>
      </c>
    </row>
    <row r="339" spans="1:10" ht="20.100000000000001" hidden="1" customHeight="1">
      <c r="A339" s="97"/>
      <c r="B339" s="102" t="s">
        <v>1219</v>
      </c>
      <c r="C339" s="103" t="s">
        <v>157</v>
      </c>
      <c r="D339" s="104"/>
      <c r="E339" s="104">
        <v>75380000</v>
      </c>
      <c r="F339" s="100">
        <f t="shared" si="30"/>
        <v>-75380000</v>
      </c>
      <c r="G339" s="100">
        <f t="shared" si="30"/>
        <v>150760000</v>
      </c>
      <c r="H339" s="101" t="e">
        <f t="shared" si="29"/>
        <v>#VALUE!</v>
      </c>
      <c r="I339" s="101">
        <f t="shared" si="28"/>
        <v>-226140000</v>
      </c>
      <c r="J339" s="101">
        <f t="shared" si="29"/>
        <v>-300</v>
      </c>
    </row>
    <row r="340" spans="1:10" ht="20.100000000000001" hidden="1" customHeight="1">
      <c r="A340" s="97"/>
      <c r="B340" s="102" t="s">
        <v>1220</v>
      </c>
      <c r="C340" s="103" t="s">
        <v>159</v>
      </c>
      <c r="D340" s="104">
        <v>6080000</v>
      </c>
      <c r="E340" s="104">
        <v>6080000</v>
      </c>
      <c r="F340" s="100">
        <f t="shared" si="30"/>
        <v>0</v>
      </c>
      <c r="G340" s="100">
        <f t="shared" si="30"/>
        <v>6080000</v>
      </c>
      <c r="H340" s="101" t="e">
        <f t="shared" si="29"/>
        <v>#VALUE!</v>
      </c>
      <c r="I340" s="101">
        <f t="shared" si="28"/>
        <v>-6080000</v>
      </c>
      <c r="J340" s="101">
        <f t="shared" si="29"/>
        <v>-100</v>
      </c>
    </row>
    <row r="341" spans="1:10" ht="20.100000000000001" hidden="1" customHeight="1">
      <c r="A341" s="97"/>
      <c r="B341" s="102" t="s">
        <v>1221</v>
      </c>
      <c r="C341" s="103" t="s">
        <v>207</v>
      </c>
      <c r="D341" s="104">
        <v>69300000</v>
      </c>
      <c r="E341" s="104">
        <v>69300000</v>
      </c>
      <c r="F341" s="100">
        <f t="shared" si="30"/>
        <v>0</v>
      </c>
      <c r="G341" s="100">
        <f t="shared" si="30"/>
        <v>69300000</v>
      </c>
      <c r="H341" s="101" t="e">
        <f t="shared" si="29"/>
        <v>#VALUE!</v>
      </c>
      <c r="I341" s="101">
        <f t="shared" si="28"/>
        <v>-69300000</v>
      </c>
      <c r="J341" s="101">
        <f t="shared" si="29"/>
        <v>-100</v>
      </c>
    </row>
    <row r="342" spans="1:10" ht="20.100000000000001" hidden="1" customHeight="1">
      <c r="A342" s="97"/>
      <c r="B342" s="102" t="s">
        <v>1222</v>
      </c>
      <c r="C342" s="103" t="s">
        <v>402</v>
      </c>
      <c r="D342" s="104"/>
      <c r="E342" s="104">
        <v>7200000</v>
      </c>
      <c r="F342" s="100">
        <f t="shared" si="30"/>
        <v>-7200000</v>
      </c>
      <c r="G342" s="100">
        <f t="shared" si="30"/>
        <v>14400000</v>
      </c>
      <c r="H342" s="101" t="e">
        <f t="shared" si="29"/>
        <v>#VALUE!</v>
      </c>
      <c r="I342" s="101">
        <f t="shared" si="28"/>
        <v>-21600000</v>
      </c>
      <c r="J342" s="101">
        <f t="shared" si="29"/>
        <v>-300</v>
      </c>
    </row>
    <row r="343" spans="1:10" ht="20.100000000000001" hidden="1" customHeight="1">
      <c r="A343" s="97"/>
      <c r="B343" s="102" t="s">
        <v>1223</v>
      </c>
      <c r="C343" s="103" t="s">
        <v>404</v>
      </c>
      <c r="D343" s="104">
        <v>7200000</v>
      </c>
      <c r="E343" s="104">
        <v>7200000</v>
      </c>
      <c r="F343" s="100">
        <f t="shared" si="30"/>
        <v>0</v>
      </c>
      <c r="G343" s="100">
        <f t="shared" si="30"/>
        <v>7200000</v>
      </c>
      <c r="H343" s="101" t="e">
        <f t="shared" si="29"/>
        <v>#VALUE!</v>
      </c>
      <c r="I343" s="101">
        <f t="shared" si="28"/>
        <v>-7200000</v>
      </c>
      <c r="J343" s="101">
        <f t="shared" si="29"/>
        <v>-100</v>
      </c>
    </row>
    <row r="344" spans="1:10" ht="20.100000000000001" customHeight="1">
      <c r="A344" s="105" t="s">
        <v>458</v>
      </c>
      <c r="B344" s="106" t="s">
        <v>1224</v>
      </c>
      <c r="C344" s="107" t="s">
        <v>633</v>
      </c>
      <c r="D344" s="108">
        <f>D345+D360+D379+D396+D414+D431+D449</f>
        <v>347320000</v>
      </c>
      <c r="E344" s="108">
        <f>E345+E360+E379+E396+E414+E431+E449</f>
        <v>188090000</v>
      </c>
      <c r="F344" s="109">
        <f t="shared" si="30"/>
        <v>159230000</v>
      </c>
      <c r="G344" s="108">
        <f>G360+G396+G431+G449</f>
        <v>187864170</v>
      </c>
      <c r="H344" s="110">
        <f>G344/E344*100</f>
        <v>99.879935137434202</v>
      </c>
      <c r="I344" s="108">
        <f>I360+I396+I431+I449</f>
        <v>225830</v>
      </c>
      <c r="J344" s="110">
        <f t="shared" si="29"/>
        <v>0.12006486256579296</v>
      </c>
    </row>
    <row r="345" spans="1:10" ht="20.100000000000001" customHeight="1">
      <c r="A345" s="111">
        <v>22</v>
      </c>
      <c r="B345" s="193" t="s">
        <v>1225</v>
      </c>
      <c r="C345" s="195" t="s">
        <v>635</v>
      </c>
      <c r="D345" s="197">
        <f>SUM(D347:D359)</f>
        <v>51141000</v>
      </c>
      <c r="E345" s="197">
        <f>'rekap REALISASI REKO '!AB444</f>
        <v>0</v>
      </c>
      <c r="F345" s="197">
        <f>D345-E345</f>
        <v>51141000</v>
      </c>
      <c r="G345" s="216">
        <f>'rekap REALISASI REKO '!AQ444</f>
        <v>0</v>
      </c>
      <c r="H345" s="214">
        <v>0</v>
      </c>
      <c r="I345" s="214">
        <f>E345-G345</f>
        <v>0</v>
      </c>
      <c r="J345" s="214">
        <v>0</v>
      </c>
    </row>
    <row r="346" spans="1:10" ht="20.100000000000001" customHeight="1">
      <c r="A346" s="112"/>
      <c r="B346" s="194"/>
      <c r="C346" s="196"/>
      <c r="D346" s="198"/>
      <c r="E346" s="198"/>
      <c r="F346" s="198"/>
      <c r="G346" s="217"/>
      <c r="H346" s="215"/>
      <c r="I346" s="215"/>
      <c r="J346" s="215"/>
    </row>
    <row r="347" spans="1:10" ht="20.100000000000001" hidden="1" customHeight="1">
      <c r="A347" s="97"/>
      <c r="B347" s="102" t="s">
        <v>1226</v>
      </c>
      <c r="C347" s="103" t="s">
        <v>10</v>
      </c>
      <c r="D347" s="104"/>
      <c r="E347" s="104">
        <v>11100000</v>
      </c>
      <c r="F347" s="100">
        <f t="shared" si="30"/>
        <v>-11100000</v>
      </c>
      <c r="G347" s="100">
        <f t="shared" si="30"/>
        <v>22200000</v>
      </c>
      <c r="H347" s="101" t="e">
        <f t="shared" si="29"/>
        <v>#VALUE!</v>
      </c>
      <c r="I347" s="101">
        <f t="shared" ref="I347:I359" si="31">F347-G347</f>
        <v>-33300000</v>
      </c>
      <c r="J347" s="101">
        <f t="shared" si="29"/>
        <v>-300</v>
      </c>
    </row>
    <row r="348" spans="1:10" ht="20.100000000000001" hidden="1" customHeight="1">
      <c r="A348" s="97"/>
      <c r="B348" s="102" t="s">
        <v>1227</v>
      </c>
      <c r="C348" s="103" t="s">
        <v>177</v>
      </c>
      <c r="D348" s="104"/>
      <c r="E348" s="104">
        <v>11100000</v>
      </c>
      <c r="F348" s="100">
        <f t="shared" si="30"/>
        <v>-11100000</v>
      </c>
      <c r="G348" s="100">
        <f t="shared" si="30"/>
        <v>22200000</v>
      </c>
      <c r="H348" s="101" t="e">
        <f t="shared" si="29"/>
        <v>#VALUE!</v>
      </c>
      <c r="I348" s="101">
        <f t="shared" si="31"/>
        <v>-33300000</v>
      </c>
      <c r="J348" s="101">
        <f t="shared" si="29"/>
        <v>-300</v>
      </c>
    </row>
    <row r="349" spans="1:10" ht="20.100000000000001" hidden="1" customHeight="1">
      <c r="A349" s="97"/>
      <c r="B349" s="102" t="s">
        <v>1228</v>
      </c>
      <c r="C349" s="103" t="s">
        <v>283</v>
      </c>
      <c r="D349" s="104">
        <v>11100000</v>
      </c>
      <c r="E349" s="104">
        <v>11100000</v>
      </c>
      <c r="F349" s="100">
        <f t="shared" si="30"/>
        <v>0</v>
      </c>
      <c r="G349" s="100">
        <f t="shared" si="30"/>
        <v>11100000</v>
      </c>
      <c r="H349" s="101" t="e">
        <f t="shared" si="29"/>
        <v>#VALUE!</v>
      </c>
      <c r="I349" s="101">
        <f t="shared" si="31"/>
        <v>-11100000</v>
      </c>
      <c r="J349" s="101">
        <f t="shared" si="29"/>
        <v>-100</v>
      </c>
    </row>
    <row r="350" spans="1:10" ht="20.100000000000001" hidden="1" customHeight="1">
      <c r="A350" s="97"/>
      <c r="B350" s="102" t="s">
        <v>1229</v>
      </c>
      <c r="C350" s="103" t="s">
        <v>143</v>
      </c>
      <c r="D350" s="104"/>
      <c r="E350" s="104">
        <v>40041000</v>
      </c>
      <c r="F350" s="100">
        <f t="shared" si="30"/>
        <v>-40041000</v>
      </c>
      <c r="G350" s="100">
        <f t="shared" si="30"/>
        <v>80082000</v>
      </c>
      <c r="H350" s="101" t="e">
        <f t="shared" si="29"/>
        <v>#VALUE!</v>
      </c>
      <c r="I350" s="101">
        <f t="shared" si="31"/>
        <v>-120123000</v>
      </c>
      <c r="J350" s="101">
        <f t="shared" si="29"/>
        <v>-300</v>
      </c>
    </row>
    <row r="351" spans="1:10" ht="20.100000000000001" hidden="1" customHeight="1">
      <c r="A351" s="97"/>
      <c r="B351" s="102" t="s">
        <v>1230</v>
      </c>
      <c r="C351" s="103" t="s">
        <v>145</v>
      </c>
      <c r="D351" s="104"/>
      <c r="E351" s="104">
        <v>1038000</v>
      </c>
      <c r="F351" s="100">
        <f t="shared" si="30"/>
        <v>-1038000</v>
      </c>
      <c r="G351" s="100">
        <f t="shared" si="30"/>
        <v>2076000</v>
      </c>
      <c r="H351" s="101" t="e">
        <f t="shared" si="29"/>
        <v>#VALUE!</v>
      </c>
      <c r="I351" s="101">
        <f t="shared" si="31"/>
        <v>-3114000</v>
      </c>
      <c r="J351" s="101">
        <f t="shared" si="29"/>
        <v>-300</v>
      </c>
    </row>
    <row r="352" spans="1:10" ht="20.100000000000001" hidden="1" customHeight="1">
      <c r="A352" s="97"/>
      <c r="B352" s="102" t="s">
        <v>1231</v>
      </c>
      <c r="C352" s="103" t="s">
        <v>147</v>
      </c>
      <c r="D352" s="104">
        <v>1038000</v>
      </c>
      <c r="E352" s="104">
        <v>1038000</v>
      </c>
      <c r="F352" s="100">
        <f t="shared" si="30"/>
        <v>0</v>
      </c>
      <c r="G352" s="100">
        <f t="shared" si="30"/>
        <v>1038000</v>
      </c>
      <c r="H352" s="101" t="e">
        <f t="shared" si="29"/>
        <v>#VALUE!</v>
      </c>
      <c r="I352" s="101">
        <f t="shared" si="31"/>
        <v>-1038000</v>
      </c>
      <c r="J352" s="101">
        <f t="shared" si="29"/>
        <v>-100</v>
      </c>
    </row>
    <row r="353" spans="1:10" ht="20.100000000000001" hidden="1" customHeight="1">
      <c r="A353" s="97"/>
      <c r="B353" s="102" t="s">
        <v>1232</v>
      </c>
      <c r="C353" s="103" t="s">
        <v>151</v>
      </c>
      <c r="D353" s="104"/>
      <c r="E353" s="104">
        <v>980000</v>
      </c>
      <c r="F353" s="100">
        <f t="shared" si="30"/>
        <v>-980000</v>
      </c>
      <c r="G353" s="100">
        <f t="shared" si="30"/>
        <v>1960000</v>
      </c>
      <c r="H353" s="101" t="e">
        <f t="shared" si="29"/>
        <v>#VALUE!</v>
      </c>
      <c r="I353" s="101">
        <f t="shared" si="31"/>
        <v>-2940000</v>
      </c>
      <c r="J353" s="101">
        <f t="shared" si="29"/>
        <v>-300</v>
      </c>
    </row>
    <row r="354" spans="1:10" ht="20.100000000000001" hidden="1" customHeight="1">
      <c r="A354" s="97"/>
      <c r="B354" s="102" t="s">
        <v>1233</v>
      </c>
      <c r="C354" s="103" t="s">
        <v>155</v>
      </c>
      <c r="D354" s="104">
        <v>980000</v>
      </c>
      <c r="E354" s="104">
        <v>980000</v>
      </c>
      <c r="F354" s="100">
        <f t="shared" si="30"/>
        <v>0</v>
      </c>
      <c r="G354" s="100">
        <f t="shared" si="30"/>
        <v>980000</v>
      </c>
      <c r="H354" s="101" t="e">
        <f t="shared" si="29"/>
        <v>#VALUE!</v>
      </c>
      <c r="I354" s="101">
        <f t="shared" si="31"/>
        <v>-980000</v>
      </c>
      <c r="J354" s="101">
        <f t="shared" si="29"/>
        <v>-100</v>
      </c>
    </row>
    <row r="355" spans="1:10" ht="20.100000000000001" hidden="1" customHeight="1">
      <c r="A355" s="97"/>
      <c r="B355" s="102" t="s">
        <v>1234</v>
      </c>
      <c r="C355" s="103" t="s">
        <v>193</v>
      </c>
      <c r="D355" s="104"/>
      <c r="E355" s="104">
        <v>12353000</v>
      </c>
      <c r="F355" s="100">
        <f t="shared" si="30"/>
        <v>-12353000</v>
      </c>
      <c r="G355" s="100">
        <f t="shared" si="30"/>
        <v>24706000</v>
      </c>
      <c r="H355" s="101" t="e">
        <f t="shared" si="29"/>
        <v>#VALUE!</v>
      </c>
      <c r="I355" s="101">
        <f t="shared" si="31"/>
        <v>-37059000</v>
      </c>
      <c r="J355" s="101">
        <f t="shared" si="29"/>
        <v>-300</v>
      </c>
    </row>
    <row r="356" spans="1:10" ht="20.100000000000001" hidden="1" customHeight="1">
      <c r="A356" s="97"/>
      <c r="B356" s="102" t="s">
        <v>1235</v>
      </c>
      <c r="C356" s="103" t="s">
        <v>195</v>
      </c>
      <c r="D356" s="104">
        <v>12353000</v>
      </c>
      <c r="E356" s="104">
        <v>12353000</v>
      </c>
      <c r="F356" s="100">
        <f t="shared" si="30"/>
        <v>0</v>
      </c>
      <c r="G356" s="100">
        <f t="shared" si="30"/>
        <v>12353000</v>
      </c>
      <c r="H356" s="101" t="e">
        <f t="shared" si="29"/>
        <v>#VALUE!</v>
      </c>
      <c r="I356" s="101">
        <f t="shared" si="31"/>
        <v>-12353000</v>
      </c>
      <c r="J356" s="101">
        <f t="shared" si="29"/>
        <v>-100</v>
      </c>
    </row>
    <row r="357" spans="1:10" ht="20.100000000000001" hidden="1" customHeight="1">
      <c r="A357" s="97"/>
      <c r="B357" s="102" t="s">
        <v>1236</v>
      </c>
      <c r="C357" s="103" t="s">
        <v>157</v>
      </c>
      <c r="D357" s="104"/>
      <c r="E357" s="104">
        <v>25670000</v>
      </c>
      <c r="F357" s="100">
        <f t="shared" si="30"/>
        <v>-25670000</v>
      </c>
      <c r="G357" s="100">
        <f t="shared" si="30"/>
        <v>51340000</v>
      </c>
      <c r="H357" s="101" t="e">
        <f t="shared" si="29"/>
        <v>#VALUE!</v>
      </c>
      <c r="I357" s="101">
        <f t="shared" si="31"/>
        <v>-77010000</v>
      </c>
      <c r="J357" s="101">
        <f t="shared" si="29"/>
        <v>-300</v>
      </c>
    </row>
    <row r="358" spans="1:10" ht="20.100000000000001" hidden="1" customHeight="1">
      <c r="A358" s="97"/>
      <c r="B358" s="102" t="s">
        <v>1237</v>
      </c>
      <c r="C358" s="103" t="s">
        <v>159</v>
      </c>
      <c r="D358" s="104">
        <v>18970000</v>
      </c>
      <c r="E358" s="104">
        <v>18970000</v>
      </c>
      <c r="F358" s="100">
        <f t="shared" si="30"/>
        <v>0</v>
      </c>
      <c r="G358" s="100">
        <f t="shared" si="30"/>
        <v>18970000</v>
      </c>
      <c r="H358" s="101" t="e">
        <f t="shared" si="29"/>
        <v>#VALUE!</v>
      </c>
      <c r="I358" s="101">
        <f t="shared" si="31"/>
        <v>-18970000</v>
      </c>
      <c r="J358" s="101">
        <f t="shared" si="29"/>
        <v>-100</v>
      </c>
    </row>
    <row r="359" spans="1:10" ht="20.100000000000001" hidden="1" customHeight="1">
      <c r="A359" s="97"/>
      <c r="B359" s="102" t="s">
        <v>1238</v>
      </c>
      <c r="C359" s="103" t="s">
        <v>207</v>
      </c>
      <c r="D359" s="104">
        <v>6700000</v>
      </c>
      <c r="E359" s="104">
        <v>6700000</v>
      </c>
      <c r="F359" s="100">
        <f t="shared" si="30"/>
        <v>0</v>
      </c>
      <c r="G359" s="100">
        <f t="shared" si="30"/>
        <v>6700000</v>
      </c>
      <c r="H359" s="101" t="e">
        <f t="shared" si="29"/>
        <v>#VALUE!</v>
      </c>
      <c r="I359" s="101">
        <f t="shared" si="31"/>
        <v>-6700000</v>
      </c>
      <c r="J359" s="101">
        <f t="shared" si="29"/>
        <v>-100</v>
      </c>
    </row>
    <row r="360" spans="1:10" ht="23.25" customHeight="1">
      <c r="A360" s="111">
        <v>23</v>
      </c>
      <c r="B360" s="193" t="s">
        <v>1239</v>
      </c>
      <c r="C360" s="195" t="s">
        <v>649</v>
      </c>
      <c r="D360" s="197">
        <f>SUM(D362:D378)</f>
        <v>70289000</v>
      </c>
      <c r="E360" s="197">
        <f>'rekap REALISASI REKO '!AB457</f>
        <v>50000000</v>
      </c>
      <c r="F360" s="197">
        <f>D360-E360</f>
        <v>20289000</v>
      </c>
      <c r="G360" s="216">
        <f>'rekap REALISASI REKO '!AQ457</f>
        <v>49849640</v>
      </c>
      <c r="H360" s="214">
        <f>G360/E360*100</f>
        <v>99.699280000000002</v>
      </c>
      <c r="I360" s="214">
        <f>E360-G360</f>
        <v>150360</v>
      </c>
      <c r="J360" s="214">
        <f>I360/E360*100</f>
        <v>0.30071999999999999</v>
      </c>
    </row>
    <row r="361" spans="1:10" ht="6.75" hidden="1" customHeight="1">
      <c r="A361" s="112"/>
      <c r="B361" s="194"/>
      <c r="C361" s="196"/>
      <c r="D361" s="198"/>
      <c r="E361" s="198"/>
      <c r="F361" s="198"/>
      <c r="G361" s="217"/>
      <c r="H361" s="215"/>
      <c r="I361" s="215"/>
      <c r="J361" s="215"/>
    </row>
    <row r="362" spans="1:10" ht="24.95" hidden="1" customHeight="1">
      <c r="A362" s="97"/>
      <c r="B362" s="102" t="s">
        <v>1240</v>
      </c>
      <c r="C362" s="103" t="s">
        <v>10</v>
      </c>
      <c r="D362" s="104"/>
      <c r="E362" s="104">
        <v>27400000</v>
      </c>
      <c r="F362" s="100">
        <f t="shared" si="30"/>
        <v>-27400000</v>
      </c>
      <c r="G362" s="100">
        <f t="shared" si="30"/>
        <v>54800000</v>
      </c>
      <c r="H362" s="101" t="e">
        <f t="shared" si="29"/>
        <v>#VALUE!</v>
      </c>
      <c r="I362" s="101">
        <f t="shared" ref="I362:I378" si="32">F362-G362</f>
        <v>-82200000</v>
      </c>
      <c r="J362" s="101">
        <f t="shared" si="29"/>
        <v>-300</v>
      </c>
    </row>
    <row r="363" spans="1:10" ht="24.95" hidden="1" customHeight="1">
      <c r="A363" s="97"/>
      <c r="B363" s="102" t="s">
        <v>1241</v>
      </c>
      <c r="C363" s="103" t="s">
        <v>177</v>
      </c>
      <c r="D363" s="104"/>
      <c r="E363" s="104">
        <v>12500000</v>
      </c>
      <c r="F363" s="100">
        <f t="shared" si="30"/>
        <v>-12500000</v>
      </c>
      <c r="G363" s="100">
        <f t="shared" si="30"/>
        <v>25000000</v>
      </c>
      <c r="H363" s="101" t="e">
        <f t="shared" si="29"/>
        <v>#VALUE!</v>
      </c>
      <c r="I363" s="101">
        <f t="shared" si="32"/>
        <v>-37500000</v>
      </c>
      <c r="J363" s="101">
        <f t="shared" si="29"/>
        <v>-300</v>
      </c>
    </row>
    <row r="364" spans="1:10" ht="24.95" hidden="1" customHeight="1">
      <c r="A364" s="97"/>
      <c r="B364" s="102" t="s">
        <v>1242</v>
      </c>
      <c r="C364" s="103" t="s">
        <v>283</v>
      </c>
      <c r="D364" s="104">
        <v>12500000</v>
      </c>
      <c r="E364" s="104">
        <v>12500000</v>
      </c>
      <c r="F364" s="100">
        <f t="shared" si="30"/>
        <v>0</v>
      </c>
      <c r="G364" s="100">
        <f t="shared" si="30"/>
        <v>12500000</v>
      </c>
      <c r="H364" s="101" t="e">
        <f t="shared" si="29"/>
        <v>#VALUE!</v>
      </c>
      <c r="I364" s="101">
        <f t="shared" si="32"/>
        <v>-12500000</v>
      </c>
      <c r="J364" s="101">
        <f t="shared" si="29"/>
        <v>-100</v>
      </c>
    </row>
    <row r="365" spans="1:10" ht="24.95" hidden="1" customHeight="1">
      <c r="A365" s="97"/>
      <c r="B365" s="102" t="s">
        <v>1243</v>
      </c>
      <c r="C365" s="103" t="s">
        <v>341</v>
      </c>
      <c r="D365" s="104"/>
      <c r="E365" s="104">
        <v>14900000</v>
      </c>
      <c r="F365" s="100">
        <f t="shared" si="30"/>
        <v>-14900000</v>
      </c>
      <c r="G365" s="100">
        <f t="shared" si="30"/>
        <v>29800000</v>
      </c>
      <c r="H365" s="101" t="e">
        <f t="shared" si="29"/>
        <v>#VALUE!</v>
      </c>
      <c r="I365" s="101">
        <f t="shared" si="32"/>
        <v>-44700000</v>
      </c>
      <c r="J365" s="101">
        <f t="shared" si="29"/>
        <v>-300</v>
      </c>
    </row>
    <row r="366" spans="1:10" ht="24.95" hidden="1" customHeight="1">
      <c r="A366" s="97"/>
      <c r="B366" s="102" t="s">
        <v>1244</v>
      </c>
      <c r="C366" s="103" t="s">
        <v>283</v>
      </c>
      <c r="D366" s="104">
        <v>14900000</v>
      </c>
      <c r="E366" s="104">
        <v>14900000</v>
      </c>
      <c r="F366" s="100">
        <f t="shared" si="30"/>
        <v>0</v>
      </c>
      <c r="G366" s="100">
        <f t="shared" si="30"/>
        <v>14900000</v>
      </c>
      <c r="H366" s="101" t="e">
        <f t="shared" si="29"/>
        <v>#VALUE!</v>
      </c>
      <c r="I366" s="101">
        <f t="shared" si="32"/>
        <v>-14900000</v>
      </c>
      <c r="J366" s="101">
        <f t="shared" si="29"/>
        <v>-100</v>
      </c>
    </row>
    <row r="367" spans="1:10" ht="24.95" hidden="1" customHeight="1">
      <c r="A367" s="97"/>
      <c r="B367" s="102" t="s">
        <v>1245</v>
      </c>
      <c r="C367" s="103" t="s">
        <v>143</v>
      </c>
      <c r="D367" s="104"/>
      <c r="E367" s="104">
        <v>42889000</v>
      </c>
      <c r="F367" s="100">
        <f t="shared" si="30"/>
        <v>-42889000</v>
      </c>
      <c r="G367" s="100">
        <f t="shared" si="30"/>
        <v>85778000</v>
      </c>
      <c r="H367" s="101" t="e">
        <f t="shared" si="29"/>
        <v>#VALUE!</v>
      </c>
      <c r="I367" s="101">
        <f t="shared" si="32"/>
        <v>-128667000</v>
      </c>
      <c r="J367" s="101">
        <f t="shared" si="29"/>
        <v>-300</v>
      </c>
    </row>
    <row r="368" spans="1:10" ht="24.95" hidden="1" customHeight="1">
      <c r="A368" s="97"/>
      <c r="B368" s="102" t="s">
        <v>1246</v>
      </c>
      <c r="C368" s="103" t="s">
        <v>145</v>
      </c>
      <c r="D368" s="104"/>
      <c r="E368" s="104">
        <v>961000</v>
      </c>
      <c r="F368" s="100">
        <f t="shared" si="30"/>
        <v>-961000</v>
      </c>
      <c r="G368" s="100">
        <f t="shared" si="30"/>
        <v>1922000</v>
      </c>
      <c r="H368" s="101" t="e">
        <f t="shared" si="29"/>
        <v>#VALUE!</v>
      </c>
      <c r="I368" s="101">
        <f t="shared" si="32"/>
        <v>-2883000</v>
      </c>
      <c r="J368" s="101">
        <f t="shared" si="29"/>
        <v>-300</v>
      </c>
    </row>
    <row r="369" spans="1:10" ht="24.95" hidden="1" customHeight="1">
      <c r="A369" s="97"/>
      <c r="B369" s="102" t="s">
        <v>1247</v>
      </c>
      <c r="C369" s="103" t="s">
        <v>147</v>
      </c>
      <c r="D369" s="104">
        <v>961000</v>
      </c>
      <c r="E369" s="104">
        <v>961000</v>
      </c>
      <c r="F369" s="100">
        <f t="shared" si="30"/>
        <v>0</v>
      </c>
      <c r="G369" s="100">
        <f t="shared" si="30"/>
        <v>961000</v>
      </c>
      <c r="H369" s="101" t="e">
        <f t="shared" si="29"/>
        <v>#VALUE!</v>
      </c>
      <c r="I369" s="101">
        <f t="shared" si="32"/>
        <v>-961000</v>
      </c>
      <c r="J369" s="101">
        <f t="shared" si="29"/>
        <v>-100</v>
      </c>
    </row>
    <row r="370" spans="1:10" ht="24.95" hidden="1" customHeight="1">
      <c r="A370" s="97"/>
      <c r="B370" s="102" t="s">
        <v>1248</v>
      </c>
      <c r="C370" s="103" t="s">
        <v>151</v>
      </c>
      <c r="D370" s="104"/>
      <c r="E370" s="104">
        <v>1403000</v>
      </c>
      <c r="F370" s="100">
        <f t="shared" si="30"/>
        <v>-1403000</v>
      </c>
      <c r="G370" s="100">
        <f t="shared" si="30"/>
        <v>2806000</v>
      </c>
      <c r="H370" s="101" t="e">
        <f t="shared" si="29"/>
        <v>#VALUE!</v>
      </c>
      <c r="I370" s="101">
        <f t="shared" si="32"/>
        <v>-4209000</v>
      </c>
      <c r="J370" s="101">
        <f t="shared" si="29"/>
        <v>-300</v>
      </c>
    </row>
    <row r="371" spans="1:10" ht="24.95" hidden="1" customHeight="1">
      <c r="A371" s="97"/>
      <c r="B371" s="102" t="s">
        <v>1249</v>
      </c>
      <c r="C371" s="103" t="s">
        <v>155</v>
      </c>
      <c r="D371" s="104">
        <v>1403000</v>
      </c>
      <c r="E371" s="104">
        <v>1403000</v>
      </c>
      <c r="F371" s="100">
        <f t="shared" si="30"/>
        <v>0</v>
      </c>
      <c r="G371" s="100">
        <f t="shared" si="30"/>
        <v>1403000</v>
      </c>
      <c r="H371" s="101" t="e">
        <f t="shared" si="29"/>
        <v>#VALUE!</v>
      </c>
      <c r="I371" s="101">
        <f t="shared" si="32"/>
        <v>-1403000</v>
      </c>
      <c r="J371" s="101">
        <f t="shared" si="29"/>
        <v>-100</v>
      </c>
    </row>
    <row r="372" spans="1:10" ht="24.95" hidden="1" customHeight="1">
      <c r="A372" s="97"/>
      <c r="B372" s="102" t="s">
        <v>1250</v>
      </c>
      <c r="C372" s="103" t="s">
        <v>193</v>
      </c>
      <c r="D372" s="104"/>
      <c r="E372" s="104">
        <v>6885000</v>
      </c>
      <c r="F372" s="100">
        <f t="shared" si="30"/>
        <v>-6885000</v>
      </c>
      <c r="G372" s="100">
        <f t="shared" si="30"/>
        <v>13770000</v>
      </c>
      <c r="H372" s="101" t="e">
        <f t="shared" si="29"/>
        <v>#VALUE!</v>
      </c>
      <c r="I372" s="101">
        <f t="shared" si="32"/>
        <v>-20655000</v>
      </c>
      <c r="J372" s="101">
        <f t="shared" si="29"/>
        <v>-300</v>
      </c>
    </row>
    <row r="373" spans="1:10" ht="24.95" hidden="1" customHeight="1">
      <c r="A373" s="97"/>
      <c r="B373" s="102" t="s">
        <v>1251</v>
      </c>
      <c r="C373" s="103" t="s">
        <v>195</v>
      </c>
      <c r="D373" s="104">
        <v>6885000</v>
      </c>
      <c r="E373" s="104">
        <v>6885000</v>
      </c>
      <c r="F373" s="100">
        <f t="shared" si="30"/>
        <v>0</v>
      </c>
      <c r="G373" s="100">
        <f t="shared" si="30"/>
        <v>6885000</v>
      </c>
      <c r="H373" s="101" t="e">
        <f t="shared" si="29"/>
        <v>#VALUE!</v>
      </c>
      <c r="I373" s="101">
        <f t="shared" si="32"/>
        <v>-6885000</v>
      </c>
      <c r="J373" s="101">
        <f t="shared" si="29"/>
        <v>-100</v>
      </c>
    </row>
    <row r="374" spans="1:10" ht="24.95" hidden="1" customHeight="1">
      <c r="A374" s="97"/>
      <c r="B374" s="102" t="s">
        <v>1252</v>
      </c>
      <c r="C374" s="103" t="s">
        <v>1253</v>
      </c>
      <c r="D374" s="104"/>
      <c r="E374" s="104">
        <v>25000000</v>
      </c>
      <c r="F374" s="100">
        <f t="shared" si="30"/>
        <v>-25000000</v>
      </c>
      <c r="G374" s="100">
        <f t="shared" si="30"/>
        <v>50000000</v>
      </c>
      <c r="H374" s="101" t="e">
        <f t="shared" si="29"/>
        <v>#VALUE!</v>
      </c>
      <c r="I374" s="101">
        <f t="shared" si="32"/>
        <v>-75000000</v>
      </c>
      <c r="J374" s="101">
        <f t="shared" si="29"/>
        <v>-300</v>
      </c>
    </row>
    <row r="375" spans="1:10" ht="24.95" hidden="1" customHeight="1">
      <c r="A375" s="97"/>
      <c r="B375" s="102" t="s">
        <v>1254</v>
      </c>
      <c r="C375" s="103" t="s">
        <v>1255</v>
      </c>
      <c r="D375" s="104">
        <v>25000000</v>
      </c>
      <c r="E375" s="104">
        <v>25000000</v>
      </c>
      <c r="F375" s="100">
        <f t="shared" si="30"/>
        <v>0</v>
      </c>
      <c r="G375" s="100">
        <f t="shared" si="30"/>
        <v>25000000</v>
      </c>
      <c r="H375" s="101" t="e">
        <f t="shared" si="29"/>
        <v>#VALUE!</v>
      </c>
      <c r="I375" s="101">
        <f t="shared" si="32"/>
        <v>-25000000</v>
      </c>
      <c r="J375" s="101">
        <f t="shared" si="29"/>
        <v>-100</v>
      </c>
    </row>
    <row r="376" spans="1:10" ht="24.95" hidden="1" customHeight="1">
      <c r="A376" s="97"/>
      <c r="B376" s="102" t="s">
        <v>1256</v>
      </c>
      <c r="C376" s="103" t="s">
        <v>157</v>
      </c>
      <c r="D376" s="104"/>
      <c r="E376" s="104">
        <v>8640000</v>
      </c>
      <c r="F376" s="100">
        <f t="shared" si="30"/>
        <v>-8640000</v>
      </c>
      <c r="G376" s="100">
        <f t="shared" si="30"/>
        <v>17280000</v>
      </c>
      <c r="H376" s="101" t="e">
        <f t="shared" si="29"/>
        <v>#VALUE!</v>
      </c>
      <c r="I376" s="101">
        <f t="shared" si="32"/>
        <v>-25920000</v>
      </c>
      <c r="J376" s="101">
        <f t="shared" si="29"/>
        <v>-300</v>
      </c>
    </row>
    <row r="377" spans="1:10" ht="24.95" hidden="1" customHeight="1">
      <c r="A377" s="97"/>
      <c r="B377" s="102" t="s">
        <v>1257</v>
      </c>
      <c r="C377" s="103" t="s">
        <v>159</v>
      </c>
      <c r="D377" s="104">
        <v>3440000</v>
      </c>
      <c r="E377" s="104">
        <v>3440000</v>
      </c>
      <c r="F377" s="100">
        <f t="shared" si="30"/>
        <v>0</v>
      </c>
      <c r="G377" s="100">
        <f t="shared" si="30"/>
        <v>3440000</v>
      </c>
      <c r="H377" s="101" t="e">
        <f t="shared" si="29"/>
        <v>#VALUE!</v>
      </c>
      <c r="I377" s="101">
        <f t="shared" si="32"/>
        <v>-3440000</v>
      </c>
      <c r="J377" s="101">
        <f t="shared" si="29"/>
        <v>-100</v>
      </c>
    </row>
    <row r="378" spans="1:10" ht="24.95" hidden="1" customHeight="1">
      <c r="A378" s="97"/>
      <c r="B378" s="102" t="s">
        <v>1258</v>
      </c>
      <c r="C378" s="103" t="s">
        <v>207</v>
      </c>
      <c r="D378" s="104">
        <v>5200000</v>
      </c>
      <c r="E378" s="104">
        <v>5200000</v>
      </c>
      <c r="F378" s="100">
        <f t="shared" si="30"/>
        <v>0</v>
      </c>
      <c r="G378" s="100">
        <f t="shared" si="30"/>
        <v>5200000</v>
      </c>
      <c r="H378" s="101" t="e">
        <f t="shared" si="29"/>
        <v>#VALUE!</v>
      </c>
      <c r="I378" s="101">
        <f t="shared" si="32"/>
        <v>-5200000</v>
      </c>
      <c r="J378" s="101">
        <f t="shared" si="29"/>
        <v>-100</v>
      </c>
    </row>
    <row r="379" spans="1:10" ht="24.95" customHeight="1">
      <c r="A379" s="111">
        <v>24</v>
      </c>
      <c r="B379" s="193" t="s">
        <v>1259</v>
      </c>
      <c r="C379" s="195" t="s">
        <v>1260</v>
      </c>
      <c r="D379" s="197">
        <f>SUM(D382:D395)</f>
        <v>46624000</v>
      </c>
      <c r="E379" s="197">
        <v>0</v>
      </c>
      <c r="F379" s="197">
        <f>D379-E379</f>
        <v>46624000</v>
      </c>
      <c r="G379" s="216">
        <f ca="1">'2019 DAN 18'!G396:'2019 DAN 18'!G360:G361</f>
        <v>0</v>
      </c>
      <c r="H379" s="214">
        <f ca="1">G379/E379*100</f>
        <v>0</v>
      </c>
      <c r="I379" s="214">
        <v>0</v>
      </c>
      <c r="J379" s="214">
        <v>0</v>
      </c>
    </row>
    <row r="380" spans="1:10" ht="0.75" customHeight="1">
      <c r="A380" s="112"/>
      <c r="B380" s="194"/>
      <c r="C380" s="196"/>
      <c r="D380" s="198"/>
      <c r="E380" s="198"/>
      <c r="F380" s="198"/>
      <c r="G380" s="217"/>
      <c r="H380" s="215"/>
      <c r="I380" s="215"/>
      <c r="J380" s="215"/>
    </row>
    <row r="381" spans="1:10" ht="24.95" hidden="1" customHeight="1">
      <c r="A381" s="97"/>
      <c r="B381" s="102" t="s">
        <v>1261</v>
      </c>
      <c r="C381" s="103" t="s">
        <v>10</v>
      </c>
      <c r="D381" s="104"/>
      <c r="E381" s="104">
        <v>30375000</v>
      </c>
      <c r="F381" s="100">
        <f t="shared" si="30"/>
        <v>-30375000</v>
      </c>
      <c r="G381" s="100">
        <f t="shared" si="30"/>
        <v>60750000</v>
      </c>
      <c r="H381" s="101" t="e">
        <f t="shared" si="29"/>
        <v>#VALUE!</v>
      </c>
      <c r="I381" s="101">
        <f t="shared" ref="I381:I395" si="33">F381-G381</f>
        <v>-91125000</v>
      </c>
      <c r="J381" s="101">
        <f t="shared" si="29"/>
        <v>-300</v>
      </c>
    </row>
    <row r="382" spans="1:10" ht="24.95" hidden="1" customHeight="1">
      <c r="A382" s="97"/>
      <c r="B382" s="102" t="s">
        <v>1262</v>
      </c>
      <c r="C382" s="103" t="s">
        <v>177</v>
      </c>
      <c r="D382" s="104"/>
      <c r="E382" s="104">
        <v>15625000</v>
      </c>
      <c r="F382" s="100">
        <f t="shared" si="30"/>
        <v>-15625000</v>
      </c>
      <c r="G382" s="100">
        <f t="shared" si="30"/>
        <v>31250000</v>
      </c>
      <c r="H382" s="101" t="e">
        <f t="shared" si="29"/>
        <v>#VALUE!</v>
      </c>
      <c r="I382" s="101">
        <f t="shared" si="33"/>
        <v>-46875000</v>
      </c>
      <c r="J382" s="101">
        <f t="shared" si="29"/>
        <v>-300</v>
      </c>
    </row>
    <row r="383" spans="1:10" ht="24.95" hidden="1" customHeight="1">
      <c r="A383" s="97"/>
      <c r="B383" s="102" t="s">
        <v>1263</v>
      </c>
      <c r="C383" s="103" t="s">
        <v>283</v>
      </c>
      <c r="D383" s="104">
        <v>15625000</v>
      </c>
      <c r="E383" s="104">
        <v>15625000</v>
      </c>
      <c r="F383" s="100">
        <f t="shared" si="30"/>
        <v>0</v>
      </c>
      <c r="G383" s="100">
        <f t="shared" si="30"/>
        <v>15625000</v>
      </c>
      <c r="H383" s="101" t="e">
        <f t="shared" si="29"/>
        <v>#VALUE!</v>
      </c>
      <c r="I383" s="101">
        <f t="shared" si="33"/>
        <v>-15625000</v>
      </c>
      <c r="J383" s="101">
        <f t="shared" si="29"/>
        <v>-100</v>
      </c>
    </row>
    <row r="384" spans="1:10" ht="24.95" hidden="1" customHeight="1">
      <c r="A384" s="97"/>
      <c r="B384" s="102" t="s">
        <v>1264</v>
      </c>
      <c r="C384" s="103" t="s">
        <v>341</v>
      </c>
      <c r="D384" s="104"/>
      <c r="E384" s="104">
        <v>14750000</v>
      </c>
      <c r="F384" s="100">
        <f t="shared" si="30"/>
        <v>-14750000</v>
      </c>
      <c r="G384" s="100">
        <f t="shared" si="30"/>
        <v>29500000</v>
      </c>
      <c r="H384" s="101" t="e">
        <f t="shared" si="29"/>
        <v>#VALUE!</v>
      </c>
      <c r="I384" s="101">
        <f t="shared" si="33"/>
        <v>-44250000</v>
      </c>
      <c r="J384" s="101">
        <f t="shared" si="29"/>
        <v>-300</v>
      </c>
    </row>
    <row r="385" spans="1:10" ht="24.95" hidden="1" customHeight="1">
      <c r="A385" s="97"/>
      <c r="B385" s="102" t="s">
        <v>1265</v>
      </c>
      <c r="C385" s="103" t="s">
        <v>283</v>
      </c>
      <c r="D385" s="104">
        <v>14750000</v>
      </c>
      <c r="E385" s="104">
        <v>14750000</v>
      </c>
      <c r="F385" s="100">
        <f t="shared" si="30"/>
        <v>0</v>
      </c>
      <c r="G385" s="100">
        <f t="shared" si="30"/>
        <v>14750000</v>
      </c>
      <c r="H385" s="101" t="e">
        <f t="shared" si="29"/>
        <v>#VALUE!</v>
      </c>
      <c r="I385" s="101">
        <f t="shared" si="33"/>
        <v>-14750000</v>
      </c>
      <c r="J385" s="101">
        <f t="shared" si="29"/>
        <v>-100</v>
      </c>
    </row>
    <row r="386" spans="1:10" ht="24.95" hidden="1" customHeight="1">
      <c r="A386" s="97"/>
      <c r="B386" s="102" t="s">
        <v>1266</v>
      </c>
      <c r="C386" s="103" t="s">
        <v>143</v>
      </c>
      <c r="D386" s="104"/>
      <c r="E386" s="104">
        <v>16249000</v>
      </c>
      <c r="F386" s="100">
        <f t="shared" si="30"/>
        <v>-16249000</v>
      </c>
      <c r="G386" s="100">
        <f t="shared" si="30"/>
        <v>32498000</v>
      </c>
      <c r="H386" s="101" t="e">
        <f t="shared" si="29"/>
        <v>#VALUE!</v>
      </c>
      <c r="I386" s="101">
        <f t="shared" si="33"/>
        <v>-48747000</v>
      </c>
      <c r="J386" s="101">
        <f t="shared" si="29"/>
        <v>-300</v>
      </c>
    </row>
    <row r="387" spans="1:10" ht="24.95" hidden="1" customHeight="1">
      <c r="A387" s="97"/>
      <c r="B387" s="102" t="s">
        <v>1267</v>
      </c>
      <c r="C387" s="103" t="s">
        <v>145</v>
      </c>
      <c r="D387" s="104"/>
      <c r="E387" s="104">
        <v>829000</v>
      </c>
      <c r="F387" s="100">
        <f t="shared" si="30"/>
        <v>-829000</v>
      </c>
      <c r="G387" s="100">
        <f t="shared" si="30"/>
        <v>1658000</v>
      </c>
      <c r="H387" s="101" t="e">
        <f t="shared" si="29"/>
        <v>#VALUE!</v>
      </c>
      <c r="I387" s="101">
        <f t="shared" si="33"/>
        <v>-2487000</v>
      </c>
      <c r="J387" s="101">
        <f t="shared" si="29"/>
        <v>-300</v>
      </c>
    </row>
    <row r="388" spans="1:10" ht="24.95" hidden="1" customHeight="1">
      <c r="A388" s="97"/>
      <c r="B388" s="102" t="s">
        <v>1268</v>
      </c>
      <c r="C388" s="103" t="s">
        <v>147</v>
      </c>
      <c r="D388" s="104">
        <v>829000</v>
      </c>
      <c r="E388" s="104">
        <v>829000</v>
      </c>
      <c r="F388" s="100">
        <f t="shared" si="30"/>
        <v>0</v>
      </c>
      <c r="G388" s="100">
        <f t="shared" si="30"/>
        <v>829000</v>
      </c>
      <c r="H388" s="101" t="e">
        <f t="shared" si="29"/>
        <v>#VALUE!</v>
      </c>
      <c r="I388" s="101">
        <f t="shared" si="33"/>
        <v>-829000</v>
      </c>
      <c r="J388" s="101">
        <f t="shared" si="29"/>
        <v>-100</v>
      </c>
    </row>
    <row r="389" spans="1:10" ht="24.95" hidden="1" customHeight="1">
      <c r="A389" s="97"/>
      <c r="B389" s="102" t="s">
        <v>1269</v>
      </c>
      <c r="C389" s="103" t="s">
        <v>151</v>
      </c>
      <c r="D389" s="104"/>
      <c r="E389" s="104">
        <v>1225000</v>
      </c>
      <c r="F389" s="100">
        <f t="shared" si="30"/>
        <v>-1225000</v>
      </c>
      <c r="G389" s="100">
        <f t="shared" si="30"/>
        <v>2450000</v>
      </c>
      <c r="H389" s="101" t="e">
        <f t="shared" si="29"/>
        <v>#VALUE!</v>
      </c>
      <c r="I389" s="101">
        <f t="shared" si="33"/>
        <v>-3675000</v>
      </c>
      <c r="J389" s="101">
        <f t="shared" si="29"/>
        <v>-300</v>
      </c>
    </row>
    <row r="390" spans="1:10" ht="24.95" hidden="1" customHeight="1">
      <c r="A390" s="97"/>
      <c r="B390" s="102" t="s">
        <v>1270</v>
      </c>
      <c r="C390" s="103" t="s">
        <v>155</v>
      </c>
      <c r="D390" s="104">
        <v>1225000</v>
      </c>
      <c r="E390" s="104">
        <v>1225000</v>
      </c>
      <c r="F390" s="100">
        <f t="shared" si="30"/>
        <v>0</v>
      </c>
      <c r="G390" s="100">
        <f t="shared" si="30"/>
        <v>1225000</v>
      </c>
      <c r="H390" s="101" t="e">
        <f t="shared" si="29"/>
        <v>#VALUE!</v>
      </c>
      <c r="I390" s="101">
        <f t="shared" si="33"/>
        <v>-1225000</v>
      </c>
      <c r="J390" s="101">
        <f t="shared" si="29"/>
        <v>-100</v>
      </c>
    </row>
    <row r="391" spans="1:10" ht="24.95" hidden="1" customHeight="1">
      <c r="A391" s="97"/>
      <c r="B391" s="102" t="s">
        <v>1271</v>
      </c>
      <c r="C391" s="103" t="s">
        <v>193</v>
      </c>
      <c r="D391" s="104"/>
      <c r="E391" s="104">
        <v>6345000</v>
      </c>
      <c r="F391" s="100">
        <f t="shared" si="30"/>
        <v>-6345000</v>
      </c>
      <c r="G391" s="100">
        <f t="shared" si="30"/>
        <v>12690000</v>
      </c>
      <c r="H391" s="101" t="e">
        <f t="shared" si="29"/>
        <v>#VALUE!</v>
      </c>
      <c r="I391" s="101">
        <f t="shared" si="33"/>
        <v>-19035000</v>
      </c>
      <c r="J391" s="101">
        <f t="shared" si="29"/>
        <v>-300</v>
      </c>
    </row>
    <row r="392" spans="1:10" ht="24.95" hidden="1" customHeight="1">
      <c r="A392" s="97"/>
      <c r="B392" s="102" t="s">
        <v>1272</v>
      </c>
      <c r="C392" s="103" t="s">
        <v>195</v>
      </c>
      <c r="D392" s="104">
        <v>6345000</v>
      </c>
      <c r="E392" s="104">
        <v>6345000</v>
      </c>
      <c r="F392" s="100">
        <f t="shared" si="30"/>
        <v>0</v>
      </c>
      <c r="G392" s="100">
        <f t="shared" si="30"/>
        <v>6345000</v>
      </c>
      <c r="H392" s="101" t="e">
        <f t="shared" si="29"/>
        <v>#VALUE!</v>
      </c>
      <c r="I392" s="101">
        <f t="shared" si="33"/>
        <v>-6345000</v>
      </c>
      <c r="J392" s="101">
        <f t="shared" si="29"/>
        <v>-100</v>
      </c>
    </row>
    <row r="393" spans="1:10" ht="24.95" hidden="1" customHeight="1">
      <c r="A393" s="97"/>
      <c r="B393" s="102" t="s">
        <v>1273</v>
      </c>
      <c r="C393" s="103" t="s">
        <v>157</v>
      </c>
      <c r="D393" s="104"/>
      <c r="E393" s="104">
        <v>7850000</v>
      </c>
      <c r="F393" s="100">
        <f t="shared" si="30"/>
        <v>-7850000</v>
      </c>
      <c r="G393" s="100">
        <f t="shared" si="30"/>
        <v>15700000</v>
      </c>
      <c r="H393" s="101" t="e">
        <f t="shared" si="29"/>
        <v>#VALUE!</v>
      </c>
      <c r="I393" s="101">
        <f t="shared" si="33"/>
        <v>-23550000</v>
      </c>
      <c r="J393" s="101">
        <f t="shared" si="29"/>
        <v>-300</v>
      </c>
    </row>
    <row r="394" spans="1:10" ht="24.95" hidden="1" customHeight="1">
      <c r="A394" s="97"/>
      <c r="B394" s="102" t="s">
        <v>1274</v>
      </c>
      <c r="C394" s="103" t="s">
        <v>159</v>
      </c>
      <c r="D394" s="104">
        <v>3150000</v>
      </c>
      <c r="E394" s="104">
        <v>3150000</v>
      </c>
      <c r="F394" s="100">
        <f t="shared" si="30"/>
        <v>0</v>
      </c>
      <c r="G394" s="100">
        <f t="shared" si="30"/>
        <v>3150000</v>
      </c>
      <c r="H394" s="101" t="e">
        <f t="shared" ref="H394:J457" si="34">G394/C394*100</f>
        <v>#VALUE!</v>
      </c>
      <c r="I394" s="101">
        <f t="shared" si="33"/>
        <v>-3150000</v>
      </c>
      <c r="J394" s="101">
        <f t="shared" si="34"/>
        <v>-100</v>
      </c>
    </row>
    <row r="395" spans="1:10" ht="24.95" hidden="1" customHeight="1">
      <c r="A395" s="97"/>
      <c r="B395" s="102" t="s">
        <v>1275</v>
      </c>
      <c r="C395" s="103" t="s">
        <v>207</v>
      </c>
      <c r="D395" s="104">
        <v>4700000</v>
      </c>
      <c r="E395" s="104">
        <v>4700000</v>
      </c>
      <c r="F395" s="100">
        <f t="shared" ref="F395:G458" si="35">D395-E395</f>
        <v>0</v>
      </c>
      <c r="G395" s="100">
        <f t="shared" si="35"/>
        <v>4700000</v>
      </c>
      <c r="H395" s="101" t="e">
        <f t="shared" si="34"/>
        <v>#VALUE!</v>
      </c>
      <c r="I395" s="101">
        <f t="shared" si="33"/>
        <v>-4700000</v>
      </c>
      <c r="J395" s="101">
        <f t="shared" si="34"/>
        <v>-100</v>
      </c>
    </row>
    <row r="396" spans="1:10" ht="24.95" customHeight="1">
      <c r="A396" s="111">
        <v>25</v>
      </c>
      <c r="B396" s="193" t="s">
        <v>1276</v>
      </c>
      <c r="C396" s="195" t="s">
        <v>681</v>
      </c>
      <c r="D396" s="197">
        <f>SUM(D399:D413)</f>
        <v>38617000</v>
      </c>
      <c r="E396" s="197">
        <f>'rekap REALISASI REKO '!AB487</f>
        <v>30090000</v>
      </c>
      <c r="F396" s="197">
        <f>D396-E396</f>
        <v>8527000</v>
      </c>
      <c r="G396" s="216">
        <f>'rekap REALISASI REKO '!AQ487</f>
        <v>30079750</v>
      </c>
      <c r="H396" s="214">
        <f>G396/E396*100</f>
        <v>99.965935526753071</v>
      </c>
      <c r="I396" s="214">
        <f>E396-G396</f>
        <v>10250</v>
      </c>
      <c r="J396" s="214">
        <f>I396/E396*100</f>
        <v>3.4064473246925887E-2</v>
      </c>
    </row>
    <row r="397" spans="1:10" ht="1.5" customHeight="1">
      <c r="A397" s="112"/>
      <c r="B397" s="194"/>
      <c r="C397" s="196"/>
      <c r="D397" s="198"/>
      <c r="E397" s="198"/>
      <c r="F397" s="198"/>
      <c r="G397" s="217"/>
      <c r="H397" s="215"/>
      <c r="I397" s="215"/>
      <c r="J397" s="215"/>
    </row>
    <row r="398" spans="1:10" ht="20.100000000000001" hidden="1" customHeight="1">
      <c r="A398" s="97"/>
      <c r="B398" s="102" t="s">
        <v>1277</v>
      </c>
      <c r="C398" s="103" t="s">
        <v>10</v>
      </c>
      <c r="D398" s="104"/>
      <c r="E398" s="104">
        <v>7440000</v>
      </c>
      <c r="F398" s="100">
        <f t="shared" si="35"/>
        <v>-7440000</v>
      </c>
      <c r="G398" s="100">
        <f t="shared" si="35"/>
        <v>14880000</v>
      </c>
      <c r="H398" s="101" t="e">
        <f t="shared" si="34"/>
        <v>#VALUE!</v>
      </c>
      <c r="I398" s="101">
        <f t="shared" ref="I398:I413" si="36">F398-G398</f>
        <v>-22320000</v>
      </c>
      <c r="J398" s="101">
        <f t="shared" si="34"/>
        <v>-300</v>
      </c>
    </row>
    <row r="399" spans="1:10" ht="20.100000000000001" hidden="1" customHeight="1">
      <c r="A399" s="97"/>
      <c r="B399" s="102" t="s">
        <v>1278</v>
      </c>
      <c r="C399" s="103" t="s">
        <v>177</v>
      </c>
      <c r="D399" s="104"/>
      <c r="E399" s="104">
        <v>2640000</v>
      </c>
      <c r="F399" s="100">
        <f t="shared" si="35"/>
        <v>-2640000</v>
      </c>
      <c r="G399" s="100">
        <f t="shared" si="35"/>
        <v>5280000</v>
      </c>
      <c r="H399" s="101" t="e">
        <f t="shared" si="34"/>
        <v>#VALUE!</v>
      </c>
      <c r="I399" s="101">
        <f t="shared" si="36"/>
        <v>-7920000</v>
      </c>
      <c r="J399" s="101">
        <f t="shared" si="34"/>
        <v>-300</v>
      </c>
    </row>
    <row r="400" spans="1:10" ht="20.100000000000001" hidden="1" customHeight="1">
      <c r="A400" s="97"/>
      <c r="B400" s="102" t="s">
        <v>1279</v>
      </c>
      <c r="C400" s="103" t="s">
        <v>283</v>
      </c>
      <c r="D400" s="104">
        <v>2640000</v>
      </c>
      <c r="E400" s="104">
        <v>2640000</v>
      </c>
      <c r="F400" s="100">
        <f t="shared" si="35"/>
        <v>0</v>
      </c>
      <c r="G400" s="100">
        <f t="shared" si="35"/>
        <v>2640000</v>
      </c>
      <c r="H400" s="101" t="e">
        <f t="shared" si="34"/>
        <v>#VALUE!</v>
      </c>
      <c r="I400" s="101">
        <f t="shared" si="36"/>
        <v>-2640000</v>
      </c>
      <c r="J400" s="101">
        <f t="shared" si="34"/>
        <v>-100</v>
      </c>
    </row>
    <row r="401" spans="1:10" ht="20.100000000000001" hidden="1" customHeight="1">
      <c r="A401" s="97"/>
      <c r="B401" s="102" t="s">
        <v>1280</v>
      </c>
      <c r="C401" s="103" t="s">
        <v>341</v>
      </c>
      <c r="D401" s="104"/>
      <c r="E401" s="104">
        <v>4800000</v>
      </c>
      <c r="F401" s="100">
        <f t="shared" si="35"/>
        <v>-4800000</v>
      </c>
      <c r="G401" s="100">
        <f t="shared" si="35"/>
        <v>9600000</v>
      </c>
      <c r="H401" s="101" t="e">
        <f t="shared" si="34"/>
        <v>#VALUE!</v>
      </c>
      <c r="I401" s="101">
        <f t="shared" si="36"/>
        <v>-14400000</v>
      </c>
      <c r="J401" s="101">
        <f t="shared" si="34"/>
        <v>-300</v>
      </c>
    </row>
    <row r="402" spans="1:10" ht="20.100000000000001" hidden="1" customHeight="1">
      <c r="A402" s="97"/>
      <c r="B402" s="102" t="s">
        <v>1281</v>
      </c>
      <c r="C402" s="103" t="s">
        <v>283</v>
      </c>
      <c r="D402" s="104">
        <v>4800000</v>
      </c>
      <c r="E402" s="104">
        <v>4800000</v>
      </c>
      <c r="F402" s="100">
        <f t="shared" si="35"/>
        <v>0</v>
      </c>
      <c r="G402" s="100">
        <f t="shared" si="35"/>
        <v>4800000</v>
      </c>
      <c r="H402" s="101" t="e">
        <f t="shared" si="34"/>
        <v>#VALUE!</v>
      </c>
      <c r="I402" s="101">
        <f t="shared" si="36"/>
        <v>-4800000</v>
      </c>
      <c r="J402" s="101">
        <f t="shared" si="34"/>
        <v>-100</v>
      </c>
    </row>
    <row r="403" spans="1:10" ht="20.100000000000001" hidden="1" customHeight="1">
      <c r="A403" s="97"/>
      <c r="B403" s="102" t="s">
        <v>1282</v>
      </c>
      <c r="C403" s="103" t="s">
        <v>143</v>
      </c>
      <c r="D403" s="104"/>
      <c r="E403" s="104">
        <v>31177000</v>
      </c>
      <c r="F403" s="100">
        <f t="shared" si="35"/>
        <v>-31177000</v>
      </c>
      <c r="G403" s="100">
        <f t="shared" si="35"/>
        <v>62354000</v>
      </c>
      <c r="H403" s="101" t="e">
        <f t="shared" si="34"/>
        <v>#VALUE!</v>
      </c>
      <c r="I403" s="101">
        <f t="shared" si="36"/>
        <v>-93531000</v>
      </c>
      <c r="J403" s="101">
        <f t="shared" si="34"/>
        <v>-300</v>
      </c>
    </row>
    <row r="404" spans="1:10" ht="20.100000000000001" hidden="1" customHeight="1">
      <c r="A404" s="97"/>
      <c r="B404" s="102" t="s">
        <v>1283</v>
      </c>
      <c r="C404" s="103" t="s">
        <v>145</v>
      </c>
      <c r="D404" s="104"/>
      <c r="E404" s="104">
        <v>2222000</v>
      </c>
      <c r="F404" s="100">
        <f t="shared" si="35"/>
        <v>-2222000</v>
      </c>
      <c r="G404" s="100">
        <f t="shared" si="35"/>
        <v>4444000</v>
      </c>
      <c r="H404" s="101" t="e">
        <f t="shared" si="34"/>
        <v>#VALUE!</v>
      </c>
      <c r="I404" s="101">
        <f t="shared" si="36"/>
        <v>-6666000</v>
      </c>
      <c r="J404" s="101">
        <f t="shared" si="34"/>
        <v>-300</v>
      </c>
    </row>
    <row r="405" spans="1:10" ht="20.100000000000001" hidden="1" customHeight="1">
      <c r="A405" s="97"/>
      <c r="B405" s="102" t="s">
        <v>1284</v>
      </c>
      <c r="C405" s="103" t="s">
        <v>147</v>
      </c>
      <c r="D405" s="104">
        <v>2222000</v>
      </c>
      <c r="E405" s="104">
        <v>2222000</v>
      </c>
      <c r="F405" s="100">
        <f t="shared" si="35"/>
        <v>0</v>
      </c>
      <c r="G405" s="100">
        <f t="shared" si="35"/>
        <v>2222000</v>
      </c>
      <c r="H405" s="101" t="e">
        <f t="shared" si="34"/>
        <v>#VALUE!</v>
      </c>
      <c r="I405" s="101">
        <f t="shared" si="36"/>
        <v>-2222000</v>
      </c>
      <c r="J405" s="101">
        <f t="shared" si="34"/>
        <v>-100</v>
      </c>
    </row>
    <row r="406" spans="1:10" ht="20.100000000000001" hidden="1" customHeight="1">
      <c r="A406" s="97"/>
      <c r="B406" s="102" t="s">
        <v>1285</v>
      </c>
      <c r="C406" s="103" t="s">
        <v>163</v>
      </c>
      <c r="D406" s="104"/>
      <c r="E406" s="104">
        <v>10000000</v>
      </c>
      <c r="F406" s="100">
        <f t="shared" si="35"/>
        <v>-10000000</v>
      </c>
      <c r="G406" s="100">
        <f t="shared" si="35"/>
        <v>20000000</v>
      </c>
      <c r="H406" s="101" t="e">
        <f t="shared" si="34"/>
        <v>#VALUE!</v>
      </c>
      <c r="I406" s="101">
        <f t="shared" si="36"/>
        <v>-30000000</v>
      </c>
      <c r="J406" s="101">
        <f t="shared" si="34"/>
        <v>-300</v>
      </c>
    </row>
    <row r="407" spans="1:10" ht="20.100000000000001" hidden="1" customHeight="1">
      <c r="A407" s="97"/>
      <c r="B407" s="102" t="s">
        <v>1286</v>
      </c>
      <c r="C407" s="103" t="s">
        <v>352</v>
      </c>
      <c r="D407" s="104">
        <v>10000000</v>
      </c>
      <c r="E407" s="104">
        <v>10000000</v>
      </c>
      <c r="F407" s="100">
        <f t="shared" si="35"/>
        <v>0</v>
      </c>
      <c r="G407" s="100">
        <f t="shared" si="35"/>
        <v>10000000</v>
      </c>
      <c r="H407" s="101" t="e">
        <f t="shared" si="34"/>
        <v>#VALUE!</v>
      </c>
      <c r="I407" s="101">
        <f t="shared" si="36"/>
        <v>-10000000</v>
      </c>
      <c r="J407" s="101">
        <f t="shared" si="34"/>
        <v>-100</v>
      </c>
    </row>
    <row r="408" spans="1:10" ht="20.100000000000001" hidden="1" customHeight="1">
      <c r="A408" s="97"/>
      <c r="B408" s="102" t="s">
        <v>1287</v>
      </c>
      <c r="C408" s="103" t="s">
        <v>151</v>
      </c>
      <c r="D408" s="104"/>
      <c r="E408" s="104">
        <v>875000</v>
      </c>
      <c r="F408" s="100">
        <f t="shared" si="35"/>
        <v>-875000</v>
      </c>
      <c r="G408" s="100">
        <f t="shared" si="35"/>
        <v>1750000</v>
      </c>
      <c r="H408" s="101" t="e">
        <f t="shared" si="34"/>
        <v>#VALUE!</v>
      </c>
      <c r="I408" s="101">
        <f t="shared" si="36"/>
        <v>-2625000</v>
      </c>
      <c r="J408" s="101">
        <f t="shared" si="34"/>
        <v>-300</v>
      </c>
    </row>
    <row r="409" spans="1:10" ht="20.100000000000001" hidden="1" customHeight="1">
      <c r="A409" s="97"/>
      <c r="B409" s="102" t="s">
        <v>1288</v>
      </c>
      <c r="C409" s="103" t="s">
        <v>155</v>
      </c>
      <c r="D409" s="104">
        <v>875000</v>
      </c>
      <c r="E409" s="104">
        <v>875000</v>
      </c>
      <c r="F409" s="100">
        <f t="shared" si="35"/>
        <v>0</v>
      </c>
      <c r="G409" s="100">
        <f t="shared" si="35"/>
        <v>875000</v>
      </c>
      <c r="H409" s="101" t="e">
        <f t="shared" si="34"/>
        <v>#VALUE!</v>
      </c>
      <c r="I409" s="101">
        <f t="shared" si="36"/>
        <v>-875000</v>
      </c>
      <c r="J409" s="101">
        <f t="shared" si="34"/>
        <v>-100</v>
      </c>
    </row>
    <row r="410" spans="1:10" ht="20.100000000000001" hidden="1" customHeight="1">
      <c r="A410" s="97"/>
      <c r="B410" s="102" t="s">
        <v>1289</v>
      </c>
      <c r="C410" s="103" t="s">
        <v>193</v>
      </c>
      <c r="D410" s="104"/>
      <c r="E410" s="104">
        <v>12750000</v>
      </c>
      <c r="F410" s="100">
        <f t="shared" si="35"/>
        <v>-12750000</v>
      </c>
      <c r="G410" s="100">
        <f t="shared" si="35"/>
        <v>25500000</v>
      </c>
      <c r="H410" s="101" t="e">
        <f t="shared" si="34"/>
        <v>#VALUE!</v>
      </c>
      <c r="I410" s="101">
        <f t="shared" si="36"/>
        <v>-38250000</v>
      </c>
      <c r="J410" s="101">
        <f t="shared" si="34"/>
        <v>-300</v>
      </c>
    </row>
    <row r="411" spans="1:10" ht="20.100000000000001" hidden="1" customHeight="1">
      <c r="A411" s="97"/>
      <c r="B411" s="102" t="s">
        <v>1290</v>
      </c>
      <c r="C411" s="103" t="s">
        <v>195</v>
      </c>
      <c r="D411" s="104">
        <v>12750000</v>
      </c>
      <c r="E411" s="104">
        <v>12750000</v>
      </c>
      <c r="F411" s="100">
        <f t="shared" si="35"/>
        <v>0</v>
      </c>
      <c r="G411" s="100">
        <f t="shared" si="35"/>
        <v>12750000</v>
      </c>
      <c r="H411" s="101" t="e">
        <f t="shared" si="34"/>
        <v>#VALUE!</v>
      </c>
      <c r="I411" s="101">
        <f t="shared" si="36"/>
        <v>-12750000</v>
      </c>
      <c r="J411" s="101">
        <f t="shared" si="34"/>
        <v>-100</v>
      </c>
    </row>
    <row r="412" spans="1:10" ht="20.100000000000001" hidden="1" customHeight="1">
      <c r="A412" s="97"/>
      <c r="B412" s="102" t="s">
        <v>1291</v>
      </c>
      <c r="C412" s="103" t="s">
        <v>157</v>
      </c>
      <c r="D412" s="104"/>
      <c r="E412" s="104">
        <v>5330000</v>
      </c>
      <c r="F412" s="100">
        <f t="shared" si="35"/>
        <v>-5330000</v>
      </c>
      <c r="G412" s="100">
        <f t="shared" si="35"/>
        <v>10660000</v>
      </c>
      <c r="H412" s="101" t="e">
        <f t="shared" si="34"/>
        <v>#VALUE!</v>
      </c>
      <c r="I412" s="101">
        <f t="shared" si="36"/>
        <v>-15990000</v>
      </c>
      <c r="J412" s="101">
        <f t="shared" si="34"/>
        <v>-300</v>
      </c>
    </row>
    <row r="413" spans="1:10" ht="20.100000000000001" hidden="1" customHeight="1">
      <c r="A413" s="97"/>
      <c r="B413" s="102" t="s">
        <v>1292</v>
      </c>
      <c r="C413" s="103" t="s">
        <v>159</v>
      </c>
      <c r="D413" s="104">
        <v>5330000</v>
      </c>
      <c r="E413" s="104">
        <v>5330000</v>
      </c>
      <c r="F413" s="100">
        <f t="shared" si="35"/>
        <v>0</v>
      </c>
      <c r="G413" s="100">
        <f t="shared" si="35"/>
        <v>5330000</v>
      </c>
      <c r="H413" s="101" t="e">
        <f t="shared" si="34"/>
        <v>#VALUE!</v>
      </c>
      <c r="I413" s="101">
        <f t="shared" si="36"/>
        <v>-5330000</v>
      </c>
      <c r="J413" s="101">
        <f t="shared" si="34"/>
        <v>-100</v>
      </c>
    </row>
    <row r="414" spans="1:10" ht="20.100000000000001" customHeight="1">
      <c r="A414" s="111">
        <v>26</v>
      </c>
      <c r="B414" s="193" t="s">
        <v>1293</v>
      </c>
      <c r="C414" s="195" t="s">
        <v>1294</v>
      </c>
      <c r="D414" s="197">
        <f>SUM(D416:D430)</f>
        <v>30013000</v>
      </c>
      <c r="E414" s="197">
        <v>0</v>
      </c>
      <c r="F414" s="197">
        <f>D414-E414</f>
        <v>30013000</v>
      </c>
      <c r="G414" s="216">
        <v>0</v>
      </c>
      <c r="H414" s="214">
        <v>0</v>
      </c>
      <c r="I414" s="214">
        <f>E414-G414</f>
        <v>0</v>
      </c>
      <c r="J414" s="214">
        <v>0</v>
      </c>
    </row>
    <row r="415" spans="1:10" ht="4.5" customHeight="1">
      <c r="A415" s="112"/>
      <c r="B415" s="194"/>
      <c r="C415" s="196"/>
      <c r="D415" s="198"/>
      <c r="E415" s="198"/>
      <c r="F415" s="198"/>
      <c r="G415" s="217"/>
      <c r="H415" s="215"/>
      <c r="I415" s="215"/>
      <c r="J415" s="215"/>
    </row>
    <row r="416" spans="1:10" ht="20.100000000000001" hidden="1" customHeight="1">
      <c r="A416" s="97"/>
      <c r="B416" s="102" t="s">
        <v>1295</v>
      </c>
      <c r="C416" s="103" t="s">
        <v>10</v>
      </c>
      <c r="D416" s="104"/>
      <c r="E416" s="104">
        <v>2600000</v>
      </c>
      <c r="F416" s="100">
        <f t="shared" si="35"/>
        <v>-2600000</v>
      </c>
      <c r="G416" s="100">
        <f t="shared" si="35"/>
        <v>5200000</v>
      </c>
      <c r="H416" s="101" t="e">
        <f t="shared" si="34"/>
        <v>#VALUE!</v>
      </c>
      <c r="I416" s="101">
        <f t="shared" ref="I416:I430" si="37">F416-G416</f>
        <v>-7800000</v>
      </c>
      <c r="J416" s="101">
        <f t="shared" si="34"/>
        <v>-300</v>
      </c>
    </row>
    <row r="417" spans="1:10" ht="20.100000000000001" hidden="1" customHeight="1">
      <c r="A417" s="97"/>
      <c r="B417" s="102" t="s">
        <v>1296</v>
      </c>
      <c r="C417" s="103" t="s">
        <v>177</v>
      </c>
      <c r="D417" s="104"/>
      <c r="E417" s="104">
        <v>2600000</v>
      </c>
      <c r="F417" s="100">
        <f t="shared" si="35"/>
        <v>-2600000</v>
      </c>
      <c r="G417" s="100">
        <f t="shared" si="35"/>
        <v>5200000</v>
      </c>
      <c r="H417" s="101" t="e">
        <f t="shared" si="34"/>
        <v>#VALUE!</v>
      </c>
      <c r="I417" s="101">
        <f t="shared" si="37"/>
        <v>-7800000</v>
      </c>
      <c r="J417" s="101">
        <f t="shared" si="34"/>
        <v>-300</v>
      </c>
    </row>
    <row r="418" spans="1:10" ht="20.100000000000001" hidden="1" customHeight="1">
      <c r="A418" s="97"/>
      <c r="B418" s="102" t="s">
        <v>1297</v>
      </c>
      <c r="C418" s="103" t="s">
        <v>283</v>
      </c>
      <c r="D418" s="104">
        <v>2600000</v>
      </c>
      <c r="E418" s="104">
        <v>2600000</v>
      </c>
      <c r="F418" s="100">
        <f t="shared" si="35"/>
        <v>0</v>
      </c>
      <c r="G418" s="100">
        <f t="shared" si="35"/>
        <v>2600000</v>
      </c>
      <c r="H418" s="101" t="e">
        <f t="shared" si="34"/>
        <v>#VALUE!</v>
      </c>
      <c r="I418" s="101">
        <f t="shared" si="37"/>
        <v>-2600000</v>
      </c>
      <c r="J418" s="101">
        <f t="shared" si="34"/>
        <v>-100</v>
      </c>
    </row>
    <row r="419" spans="1:10" ht="20.100000000000001" hidden="1" customHeight="1">
      <c r="A419" s="97"/>
      <c r="B419" s="102" t="s">
        <v>1298</v>
      </c>
      <c r="C419" s="103" t="s">
        <v>143</v>
      </c>
      <c r="D419" s="104"/>
      <c r="E419" s="104">
        <v>27413000</v>
      </c>
      <c r="F419" s="100">
        <f t="shared" si="35"/>
        <v>-27413000</v>
      </c>
      <c r="G419" s="100">
        <f t="shared" si="35"/>
        <v>54826000</v>
      </c>
      <c r="H419" s="101" t="e">
        <f t="shared" si="34"/>
        <v>#VALUE!</v>
      </c>
      <c r="I419" s="101">
        <f t="shared" si="37"/>
        <v>-82239000</v>
      </c>
      <c r="J419" s="101">
        <f t="shared" si="34"/>
        <v>-300</v>
      </c>
    </row>
    <row r="420" spans="1:10" ht="20.100000000000001" hidden="1" customHeight="1">
      <c r="A420" s="97"/>
      <c r="B420" s="102" t="s">
        <v>1299</v>
      </c>
      <c r="C420" s="103" t="s">
        <v>145</v>
      </c>
      <c r="D420" s="104"/>
      <c r="E420" s="104">
        <v>1909000</v>
      </c>
      <c r="F420" s="100">
        <f t="shared" si="35"/>
        <v>-1909000</v>
      </c>
      <c r="G420" s="100">
        <f t="shared" si="35"/>
        <v>3818000</v>
      </c>
      <c r="H420" s="101" t="e">
        <f t="shared" si="34"/>
        <v>#VALUE!</v>
      </c>
      <c r="I420" s="101">
        <f t="shared" si="37"/>
        <v>-5727000</v>
      </c>
      <c r="J420" s="101">
        <f t="shared" si="34"/>
        <v>-300</v>
      </c>
    </row>
    <row r="421" spans="1:10" ht="20.100000000000001" hidden="1" customHeight="1">
      <c r="A421" s="97"/>
      <c r="B421" s="102" t="s">
        <v>1300</v>
      </c>
      <c r="C421" s="103" t="s">
        <v>147</v>
      </c>
      <c r="D421" s="104">
        <v>1909000</v>
      </c>
      <c r="E421" s="104">
        <v>1909000</v>
      </c>
      <c r="F421" s="100">
        <f t="shared" si="35"/>
        <v>0</v>
      </c>
      <c r="G421" s="100">
        <f t="shared" si="35"/>
        <v>1909000</v>
      </c>
      <c r="H421" s="101" t="e">
        <f t="shared" si="34"/>
        <v>#VALUE!</v>
      </c>
      <c r="I421" s="101">
        <f t="shared" si="37"/>
        <v>-1909000</v>
      </c>
      <c r="J421" s="101">
        <f t="shared" si="34"/>
        <v>-100</v>
      </c>
    </row>
    <row r="422" spans="1:10" ht="20.100000000000001" hidden="1" customHeight="1">
      <c r="A422" s="97"/>
      <c r="B422" s="102" t="s">
        <v>1301</v>
      </c>
      <c r="C422" s="103" t="s">
        <v>163</v>
      </c>
      <c r="D422" s="104"/>
      <c r="E422" s="104">
        <v>5000000</v>
      </c>
      <c r="F422" s="100">
        <f t="shared" si="35"/>
        <v>-5000000</v>
      </c>
      <c r="G422" s="100">
        <f t="shared" si="35"/>
        <v>10000000</v>
      </c>
      <c r="H422" s="101" t="e">
        <f t="shared" si="34"/>
        <v>#VALUE!</v>
      </c>
      <c r="I422" s="101">
        <f t="shared" si="37"/>
        <v>-15000000</v>
      </c>
      <c r="J422" s="101">
        <f t="shared" si="34"/>
        <v>-300</v>
      </c>
    </row>
    <row r="423" spans="1:10" ht="20.100000000000001" hidden="1" customHeight="1">
      <c r="A423" s="97"/>
      <c r="B423" s="102" t="s">
        <v>1302</v>
      </c>
      <c r="C423" s="103" t="s">
        <v>352</v>
      </c>
      <c r="D423" s="104">
        <v>5000000</v>
      </c>
      <c r="E423" s="104">
        <v>5000000</v>
      </c>
      <c r="F423" s="100">
        <f t="shared" si="35"/>
        <v>0</v>
      </c>
      <c r="G423" s="100">
        <f t="shared" si="35"/>
        <v>5000000</v>
      </c>
      <c r="H423" s="101" t="e">
        <f t="shared" si="34"/>
        <v>#VALUE!</v>
      </c>
      <c r="I423" s="101">
        <f t="shared" si="37"/>
        <v>-5000000</v>
      </c>
      <c r="J423" s="101">
        <f t="shared" si="34"/>
        <v>-100</v>
      </c>
    </row>
    <row r="424" spans="1:10" ht="20.100000000000001" hidden="1" customHeight="1">
      <c r="A424" s="97"/>
      <c r="B424" s="102" t="s">
        <v>1303</v>
      </c>
      <c r="C424" s="103" t="s">
        <v>151</v>
      </c>
      <c r="D424" s="104"/>
      <c r="E424" s="104">
        <v>1400000</v>
      </c>
      <c r="F424" s="100">
        <f t="shared" si="35"/>
        <v>-1400000</v>
      </c>
      <c r="G424" s="100">
        <f t="shared" si="35"/>
        <v>2800000</v>
      </c>
      <c r="H424" s="101" t="e">
        <f t="shared" si="34"/>
        <v>#VALUE!</v>
      </c>
      <c r="I424" s="101">
        <f t="shared" si="37"/>
        <v>-4200000</v>
      </c>
      <c r="J424" s="101">
        <f t="shared" si="34"/>
        <v>-300</v>
      </c>
    </row>
    <row r="425" spans="1:10" ht="20.100000000000001" hidden="1" customHeight="1">
      <c r="A425" s="97"/>
      <c r="B425" s="102" t="s">
        <v>1304</v>
      </c>
      <c r="C425" s="103" t="s">
        <v>155</v>
      </c>
      <c r="D425" s="104">
        <v>1400000</v>
      </c>
      <c r="E425" s="104">
        <v>1400000</v>
      </c>
      <c r="F425" s="100">
        <f t="shared" si="35"/>
        <v>0</v>
      </c>
      <c r="G425" s="100">
        <f t="shared" si="35"/>
        <v>1400000</v>
      </c>
      <c r="H425" s="101" t="e">
        <f t="shared" si="34"/>
        <v>#VALUE!</v>
      </c>
      <c r="I425" s="101">
        <f t="shared" si="37"/>
        <v>-1400000</v>
      </c>
      <c r="J425" s="101">
        <f t="shared" si="34"/>
        <v>-100</v>
      </c>
    </row>
    <row r="426" spans="1:10" ht="20.100000000000001" hidden="1" customHeight="1">
      <c r="A426" s="97"/>
      <c r="B426" s="102" t="s">
        <v>1305</v>
      </c>
      <c r="C426" s="103" t="s">
        <v>193</v>
      </c>
      <c r="D426" s="104"/>
      <c r="E426" s="104">
        <v>6804000</v>
      </c>
      <c r="F426" s="100">
        <f t="shared" si="35"/>
        <v>-6804000</v>
      </c>
      <c r="G426" s="100">
        <f t="shared" si="35"/>
        <v>13608000</v>
      </c>
      <c r="H426" s="101" t="e">
        <f t="shared" si="34"/>
        <v>#VALUE!</v>
      </c>
      <c r="I426" s="101">
        <f t="shared" si="37"/>
        <v>-20412000</v>
      </c>
      <c r="J426" s="101">
        <f t="shared" si="34"/>
        <v>-300</v>
      </c>
    </row>
    <row r="427" spans="1:10" ht="20.100000000000001" hidden="1" customHeight="1">
      <c r="A427" s="97"/>
      <c r="B427" s="102" t="s">
        <v>1306</v>
      </c>
      <c r="C427" s="103" t="s">
        <v>195</v>
      </c>
      <c r="D427" s="104">
        <v>6804000</v>
      </c>
      <c r="E427" s="104">
        <v>6804000</v>
      </c>
      <c r="F427" s="100">
        <f t="shared" si="35"/>
        <v>0</v>
      </c>
      <c r="G427" s="100">
        <f t="shared" si="35"/>
        <v>6804000</v>
      </c>
      <c r="H427" s="101" t="e">
        <f t="shared" si="34"/>
        <v>#VALUE!</v>
      </c>
      <c r="I427" s="101">
        <f t="shared" si="37"/>
        <v>-6804000</v>
      </c>
      <c r="J427" s="101">
        <f t="shared" si="34"/>
        <v>-100</v>
      </c>
    </row>
    <row r="428" spans="1:10" ht="20.100000000000001" hidden="1" customHeight="1">
      <c r="A428" s="97"/>
      <c r="B428" s="102" t="s">
        <v>1307</v>
      </c>
      <c r="C428" s="103" t="s">
        <v>157</v>
      </c>
      <c r="D428" s="104"/>
      <c r="E428" s="104">
        <v>12300000</v>
      </c>
      <c r="F428" s="100">
        <f t="shared" si="35"/>
        <v>-12300000</v>
      </c>
      <c r="G428" s="100">
        <f t="shared" si="35"/>
        <v>24600000</v>
      </c>
      <c r="H428" s="101" t="e">
        <f t="shared" si="34"/>
        <v>#VALUE!</v>
      </c>
      <c r="I428" s="101">
        <f t="shared" si="37"/>
        <v>-36900000</v>
      </c>
      <c r="J428" s="101">
        <f t="shared" si="34"/>
        <v>-300</v>
      </c>
    </row>
    <row r="429" spans="1:10" ht="20.100000000000001" hidden="1" customHeight="1">
      <c r="A429" s="97"/>
      <c r="B429" s="102" t="s">
        <v>1308</v>
      </c>
      <c r="C429" s="103" t="s">
        <v>159</v>
      </c>
      <c r="D429" s="104">
        <v>7100000</v>
      </c>
      <c r="E429" s="104">
        <v>7100000</v>
      </c>
      <c r="F429" s="100">
        <f t="shared" si="35"/>
        <v>0</v>
      </c>
      <c r="G429" s="100">
        <f t="shared" si="35"/>
        <v>7100000</v>
      </c>
      <c r="H429" s="101" t="e">
        <f t="shared" si="34"/>
        <v>#VALUE!</v>
      </c>
      <c r="I429" s="101">
        <f t="shared" si="37"/>
        <v>-7100000</v>
      </c>
      <c r="J429" s="101">
        <f t="shared" si="34"/>
        <v>-100</v>
      </c>
    </row>
    <row r="430" spans="1:10" ht="20.100000000000001" hidden="1" customHeight="1">
      <c r="A430" s="97"/>
      <c r="B430" s="102" t="s">
        <v>1309</v>
      </c>
      <c r="C430" s="103" t="s">
        <v>207</v>
      </c>
      <c r="D430" s="104">
        <v>5200000</v>
      </c>
      <c r="E430" s="104">
        <v>5200000</v>
      </c>
      <c r="F430" s="100">
        <f t="shared" si="35"/>
        <v>0</v>
      </c>
      <c r="G430" s="100">
        <f t="shared" si="35"/>
        <v>5200000</v>
      </c>
      <c r="H430" s="101" t="e">
        <f t="shared" si="34"/>
        <v>#VALUE!</v>
      </c>
      <c r="I430" s="101">
        <f t="shared" si="37"/>
        <v>-5200000</v>
      </c>
      <c r="J430" s="101">
        <f t="shared" si="34"/>
        <v>-100</v>
      </c>
    </row>
    <row r="431" spans="1:10" ht="20.100000000000001" customHeight="1">
      <c r="A431" s="111">
        <v>27</v>
      </c>
      <c r="B431" s="193" t="s">
        <v>1310</v>
      </c>
      <c r="C431" s="195" t="s">
        <v>699</v>
      </c>
      <c r="D431" s="197">
        <f>SUM(D433:D448)</f>
        <v>73357000</v>
      </c>
      <c r="E431" s="197">
        <f>'rekap REALISASI REKO '!AB504</f>
        <v>65500000</v>
      </c>
      <c r="F431" s="197">
        <f>D431-E431</f>
        <v>7857000</v>
      </c>
      <c r="G431" s="216">
        <f>'rekap REALISASI REKO '!AQ504</f>
        <v>65449850</v>
      </c>
      <c r="H431" s="214">
        <f>G431/E431*100</f>
        <v>99.923435114503818</v>
      </c>
      <c r="I431" s="214">
        <f>E431-G431</f>
        <v>50150</v>
      </c>
      <c r="J431" s="214">
        <f>I431/E431*100</f>
        <v>7.6564885496183205E-2</v>
      </c>
    </row>
    <row r="432" spans="1:10" ht="3" customHeight="1">
      <c r="A432" s="112"/>
      <c r="B432" s="194"/>
      <c r="C432" s="196"/>
      <c r="D432" s="198"/>
      <c r="E432" s="198"/>
      <c r="F432" s="198"/>
      <c r="G432" s="217"/>
      <c r="H432" s="215"/>
      <c r="I432" s="215"/>
      <c r="J432" s="215"/>
    </row>
    <row r="433" spans="1:10" ht="20.100000000000001" hidden="1" customHeight="1">
      <c r="A433" s="97"/>
      <c r="B433" s="102" t="s">
        <v>1311</v>
      </c>
      <c r="C433" s="103" t="s">
        <v>10</v>
      </c>
      <c r="D433" s="104"/>
      <c r="E433" s="104">
        <v>3480000</v>
      </c>
      <c r="F433" s="100">
        <f t="shared" si="35"/>
        <v>-3480000</v>
      </c>
      <c r="G433" s="100">
        <f t="shared" si="35"/>
        <v>6960000</v>
      </c>
      <c r="H433" s="101" t="e">
        <f t="shared" si="34"/>
        <v>#VALUE!</v>
      </c>
      <c r="I433" s="101">
        <f t="shared" ref="I433:I448" si="38">F433-G433</f>
        <v>-10440000</v>
      </c>
      <c r="J433" s="101">
        <f t="shared" si="34"/>
        <v>-300</v>
      </c>
    </row>
    <row r="434" spans="1:10" ht="20.100000000000001" hidden="1" customHeight="1">
      <c r="A434" s="97"/>
      <c r="B434" s="102" t="s">
        <v>1312</v>
      </c>
      <c r="C434" s="103" t="s">
        <v>177</v>
      </c>
      <c r="D434" s="104"/>
      <c r="E434" s="104">
        <v>3480000</v>
      </c>
      <c r="F434" s="100">
        <f t="shared" si="35"/>
        <v>-3480000</v>
      </c>
      <c r="G434" s="100">
        <f t="shared" si="35"/>
        <v>6960000</v>
      </c>
      <c r="H434" s="101" t="e">
        <f t="shared" si="34"/>
        <v>#VALUE!</v>
      </c>
      <c r="I434" s="101">
        <f t="shared" si="38"/>
        <v>-10440000</v>
      </c>
      <c r="J434" s="101">
        <f t="shared" si="34"/>
        <v>-300</v>
      </c>
    </row>
    <row r="435" spans="1:10" ht="20.100000000000001" hidden="1" customHeight="1">
      <c r="A435" s="97"/>
      <c r="B435" s="102" t="s">
        <v>1313</v>
      </c>
      <c r="C435" s="103" t="s">
        <v>283</v>
      </c>
      <c r="D435" s="104">
        <v>3480000</v>
      </c>
      <c r="E435" s="104">
        <v>3480000</v>
      </c>
      <c r="F435" s="100">
        <f t="shared" si="35"/>
        <v>0</v>
      </c>
      <c r="G435" s="100">
        <f t="shared" si="35"/>
        <v>3480000</v>
      </c>
      <c r="H435" s="101" t="e">
        <f t="shared" si="34"/>
        <v>#VALUE!</v>
      </c>
      <c r="I435" s="101">
        <f t="shared" si="38"/>
        <v>-3480000</v>
      </c>
      <c r="J435" s="101">
        <f t="shared" si="34"/>
        <v>-100</v>
      </c>
    </row>
    <row r="436" spans="1:10" ht="20.100000000000001" hidden="1" customHeight="1">
      <c r="A436" s="97"/>
      <c r="B436" s="102" t="s">
        <v>1314</v>
      </c>
      <c r="C436" s="103" t="s">
        <v>143</v>
      </c>
      <c r="D436" s="104"/>
      <c r="E436" s="104">
        <v>69877000</v>
      </c>
      <c r="F436" s="100">
        <f t="shared" si="35"/>
        <v>-69877000</v>
      </c>
      <c r="G436" s="100">
        <f t="shared" si="35"/>
        <v>139754000</v>
      </c>
      <c r="H436" s="101" t="e">
        <f t="shared" si="34"/>
        <v>#VALUE!</v>
      </c>
      <c r="I436" s="101">
        <f t="shared" si="38"/>
        <v>-209631000</v>
      </c>
      <c r="J436" s="101">
        <f t="shared" si="34"/>
        <v>-300</v>
      </c>
    </row>
    <row r="437" spans="1:10" ht="20.100000000000001" hidden="1" customHeight="1">
      <c r="A437" s="97"/>
      <c r="B437" s="102" t="s">
        <v>1315</v>
      </c>
      <c r="C437" s="103" t="s">
        <v>145</v>
      </c>
      <c r="D437" s="104"/>
      <c r="E437" s="104">
        <v>5903000</v>
      </c>
      <c r="F437" s="100">
        <f t="shared" si="35"/>
        <v>-5903000</v>
      </c>
      <c r="G437" s="100">
        <f t="shared" si="35"/>
        <v>11806000</v>
      </c>
      <c r="H437" s="101" t="e">
        <f t="shared" si="34"/>
        <v>#VALUE!</v>
      </c>
      <c r="I437" s="101">
        <f t="shared" si="38"/>
        <v>-17709000</v>
      </c>
      <c r="J437" s="101">
        <f t="shared" si="34"/>
        <v>-300</v>
      </c>
    </row>
    <row r="438" spans="1:10" ht="20.100000000000001" hidden="1" customHeight="1">
      <c r="A438" s="97"/>
      <c r="B438" s="102" t="s">
        <v>1316</v>
      </c>
      <c r="C438" s="103" t="s">
        <v>147</v>
      </c>
      <c r="D438" s="104">
        <v>903000</v>
      </c>
      <c r="E438" s="104">
        <v>903000</v>
      </c>
      <c r="F438" s="100">
        <f t="shared" si="35"/>
        <v>0</v>
      </c>
      <c r="G438" s="100">
        <f t="shared" si="35"/>
        <v>903000</v>
      </c>
      <c r="H438" s="101" t="e">
        <f t="shared" si="34"/>
        <v>#VALUE!</v>
      </c>
      <c r="I438" s="101">
        <f t="shared" si="38"/>
        <v>-903000</v>
      </c>
      <c r="J438" s="101">
        <f t="shared" si="34"/>
        <v>-100</v>
      </c>
    </row>
    <row r="439" spans="1:10" ht="20.100000000000001" hidden="1" customHeight="1">
      <c r="A439" s="97"/>
      <c r="B439" s="102" t="s">
        <v>1317</v>
      </c>
      <c r="C439" s="103" t="s">
        <v>1318</v>
      </c>
      <c r="D439" s="104">
        <v>5000000</v>
      </c>
      <c r="E439" s="104">
        <v>5000000</v>
      </c>
      <c r="F439" s="100">
        <f t="shared" si="35"/>
        <v>0</v>
      </c>
      <c r="G439" s="100">
        <f t="shared" si="35"/>
        <v>5000000</v>
      </c>
      <c r="H439" s="101" t="e">
        <f t="shared" si="34"/>
        <v>#VALUE!</v>
      </c>
      <c r="I439" s="101">
        <f t="shared" si="38"/>
        <v>-5000000</v>
      </c>
      <c r="J439" s="101">
        <f t="shared" si="34"/>
        <v>-100</v>
      </c>
    </row>
    <row r="440" spans="1:10" ht="20.100000000000001" hidden="1" customHeight="1">
      <c r="A440" s="97"/>
      <c r="B440" s="102" t="s">
        <v>1319</v>
      </c>
      <c r="C440" s="103" t="s">
        <v>163</v>
      </c>
      <c r="D440" s="104"/>
      <c r="E440" s="104">
        <v>440000</v>
      </c>
      <c r="F440" s="100">
        <f t="shared" si="35"/>
        <v>-440000</v>
      </c>
      <c r="G440" s="100">
        <f t="shared" si="35"/>
        <v>880000</v>
      </c>
      <c r="H440" s="101" t="e">
        <f t="shared" si="34"/>
        <v>#VALUE!</v>
      </c>
      <c r="I440" s="101">
        <f t="shared" si="38"/>
        <v>-1320000</v>
      </c>
      <c r="J440" s="101">
        <f t="shared" si="34"/>
        <v>-300</v>
      </c>
    </row>
    <row r="441" spans="1:10" ht="20.100000000000001" hidden="1" customHeight="1">
      <c r="A441" s="97"/>
      <c r="B441" s="102" t="s">
        <v>1320</v>
      </c>
      <c r="C441" s="103" t="s">
        <v>349</v>
      </c>
      <c r="D441" s="104">
        <v>440000</v>
      </c>
      <c r="E441" s="104">
        <v>440000</v>
      </c>
      <c r="F441" s="100">
        <f t="shared" si="35"/>
        <v>0</v>
      </c>
      <c r="G441" s="100">
        <f t="shared" si="35"/>
        <v>440000</v>
      </c>
      <c r="H441" s="101" t="e">
        <f t="shared" si="34"/>
        <v>#VALUE!</v>
      </c>
      <c r="I441" s="101">
        <f t="shared" si="38"/>
        <v>-440000</v>
      </c>
      <c r="J441" s="101">
        <f t="shared" si="34"/>
        <v>-100</v>
      </c>
    </row>
    <row r="442" spans="1:10" ht="20.100000000000001" hidden="1" customHeight="1">
      <c r="A442" s="97"/>
      <c r="B442" s="102" t="s">
        <v>1321</v>
      </c>
      <c r="C442" s="103" t="s">
        <v>151</v>
      </c>
      <c r="D442" s="104"/>
      <c r="E442" s="104">
        <v>984000</v>
      </c>
      <c r="F442" s="100">
        <f t="shared" si="35"/>
        <v>-984000</v>
      </c>
      <c r="G442" s="100">
        <f t="shared" si="35"/>
        <v>1968000</v>
      </c>
      <c r="H442" s="101" t="e">
        <f t="shared" si="34"/>
        <v>#VALUE!</v>
      </c>
      <c r="I442" s="101">
        <f t="shared" si="38"/>
        <v>-2952000</v>
      </c>
      <c r="J442" s="101">
        <f t="shared" si="34"/>
        <v>-300</v>
      </c>
    </row>
    <row r="443" spans="1:10" ht="20.100000000000001" hidden="1" customHeight="1">
      <c r="A443" s="97"/>
      <c r="B443" s="102" t="s">
        <v>1322</v>
      </c>
      <c r="C443" s="103" t="s">
        <v>155</v>
      </c>
      <c r="D443" s="104">
        <v>984000</v>
      </c>
      <c r="E443" s="104">
        <v>984000</v>
      </c>
      <c r="F443" s="100">
        <f t="shared" si="35"/>
        <v>0</v>
      </c>
      <c r="G443" s="100">
        <f t="shared" si="35"/>
        <v>984000</v>
      </c>
      <c r="H443" s="101" t="e">
        <f t="shared" si="34"/>
        <v>#VALUE!</v>
      </c>
      <c r="I443" s="101">
        <f t="shared" si="38"/>
        <v>-984000</v>
      </c>
      <c r="J443" s="101">
        <f t="shared" si="34"/>
        <v>-100</v>
      </c>
    </row>
    <row r="444" spans="1:10" ht="20.100000000000001" hidden="1" customHeight="1">
      <c r="A444" s="97"/>
      <c r="B444" s="102" t="s">
        <v>1323</v>
      </c>
      <c r="C444" s="103" t="s">
        <v>193</v>
      </c>
      <c r="D444" s="104"/>
      <c r="E444" s="104">
        <v>53550000</v>
      </c>
      <c r="F444" s="100">
        <f t="shared" si="35"/>
        <v>-53550000</v>
      </c>
      <c r="G444" s="100">
        <f t="shared" si="35"/>
        <v>107100000</v>
      </c>
      <c r="H444" s="101" t="e">
        <f t="shared" si="34"/>
        <v>#VALUE!</v>
      </c>
      <c r="I444" s="101">
        <f t="shared" si="38"/>
        <v>-160650000</v>
      </c>
      <c r="J444" s="101">
        <f t="shared" si="34"/>
        <v>-300</v>
      </c>
    </row>
    <row r="445" spans="1:10" ht="20.100000000000001" hidden="1" customHeight="1">
      <c r="A445" s="97"/>
      <c r="B445" s="102" t="s">
        <v>1324</v>
      </c>
      <c r="C445" s="103" t="s">
        <v>195</v>
      </c>
      <c r="D445" s="104">
        <v>53550000</v>
      </c>
      <c r="E445" s="104">
        <v>53550000</v>
      </c>
      <c r="F445" s="100">
        <f t="shared" si="35"/>
        <v>0</v>
      </c>
      <c r="G445" s="100">
        <f t="shared" si="35"/>
        <v>53550000</v>
      </c>
      <c r="H445" s="101" t="e">
        <f t="shared" si="34"/>
        <v>#VALUE!</v>
      </c>
      <c r="I445" s="101">
        <f t="shared" si="38"/>
        <v>-53550000</v>
      </c>
      <c r="J445" s="101">
        <f t="shared" si="34"/>
        <v>-100</v>
      </c>
    </row>
    <row r="446" spans="1:10" ht="20.100000000000001" hidden="1" customHeight="1">
      <c r="A446" s="97"/>
      <c r="B446" s="102" t="s">
        <v>1325</v>
      </c>
      <c r="C446" s="103" t="s">
        <v>157</v>
      </c>
      <c r="D446" s="104"/>
      <c r="E446" s="104">
        <v>9000000</v>
      </c>
      <c r="F446" s="100">
        <f t="shared" si="35"/>
        <v>-9000000</v>
      </c>
      <c r="G446" s="100">
        <f t="shared" si="35"/>
        <v>18000000</v>
      </c>
      <c r="H446" s="101" t="e">
        <f t="shared" si="34"/>
        <v>#VALUE!</v>
      </c>
      <c r="I446" s="101">
        <f t="shared" si="38"/>
        <v>-27000000</v>
      </c>
      <c r="J446" s="101">
        <f t="shared" si="34"/>
        <v>-300</v>
      </c>
    </row>
    <row r="447" spans="1:10" ht="20.100000000000001" hidden="1" customHeight="1">
      <c r="A447" s="97"/>
      <c r="B447" s="102" t="s">
        <v>1326</v>
      </c>
      <c r="C447" s="103" t="s">
        <v>159</v>
      </c>
      <c r="D447" s="104">
        <v>3550000</v>
      </c>
      <c r="E447" s="104">
        <v>3550000</v>
      </c>
      <c r="F447" s="100">
        <f t="shared" si="35"/>
        <v>0</v>
      </c>
      <c r="G447" s="100">
        <f t="shared" si="35"/>
        <v>3550000</v>
      </c>
      <c r="H447" s="101" t="e">
        <f t="shared" si="34"/>
        <v>#VALUE!</v>
      </c>
      <c r="I447" s="101">
        <f t="shared" si="38"/>
        <v>-3550000</v>
      </c>
      <c r="J447" s="101">
        <f t="shared" si="34"/>
        <v>-100</v>
      </c>
    </row>
    <row r="448" spans="1:10" ht="20.100000000000001" hidden="1" customHeight="1">
      <c r="A448" s="97"/>
      <c r="B448" s="102" t="s">
        <v>1327</v>
      </c>
      <c r="C448" s="103" t="s">
        <v>207</v>
      </c>
      <c r="D448" s="104">
        <v>5450000</v>
      </c>
      <c r="E448" s="104">
        <v>5450000</v>
      </c>
      <c r="F448" s="100">
        <f t="shared" si="35"/>
        <v>0</v>
      </c>
      <c r="G448" s="100">
        <f t="shared" si="35"/>
        <v>5450000</v>
      </c>
      <c r="H448" s="101" t="e">
        <f t="shared" si="34"/>
        <v>#VALUE!</v>
      </c>
      <c r="I448" s="101">
        <f t="shared" si="38"/>
        <v>-5450000</v>
      </c>
      <c r="J448" s="101">
        <f t="shared" si="34"/>
        <v>-100</v>
      </c>
    </row>
    <row r="449" spans="1:10" ht="20.100000000000001" customHeight="1">
      <c r="A449" s="111">
        <v>28</v>
      </c>
      <c r="B449" s="193" t="s">
        <v>1328</v>
      </c>
      <c r="C449" s="195" t="s">
        <v>32</v>
      </c>
      <c r="D449" s="197">
        <f>SUM(D451:D467)</f>
        <v>37279000</v>
      </c>
      <c r="E449" s="197">
        <f>'rekap REALISASI REKO '!AB529</f>
        <v>42500000</v>
      </c>
      <c r="F449" s="197">
        <f>D449-E449</f>
        <v>-5221000</v>
      </c>
      <c r="G449" s="216">
        <f>'rekap REALISASI REKO '!AQ529</f>
        <v>42484930</v>
      </c>
      <c r="H449" s="214">
        <f>G449/E449*100</f>
        <v>99.96454117647059</v>
      </c>
      <c r="I449" s="214">
        <f>E449-G449</f>
        <v>15070</v>
      </c>
      <c r="J449" s="214">
        <f>I449/E449*100</f>
        <v>3.5458823529411765E-2</v>
      </c>
    </row>
    <row r="450" spans="1:10" ht="4.5" customHeight="1">
      <c r="A450" s="112"/>
      <c r="B450" s="194"/>
      <c r="C450" s="196"/>
      <c r="D450" s="198"/>
      <c r="E450" s="198"/>
      <c r="F450" s="198"/>
      <c r="G450" s="217"/>
      <c r="H450" s="215"/>
      <c r="I450" s="215"/>
      <c r="J450" s="215"/>
    </row>
    <row r="451" spans="1:10" ht="20.100000000000001" hidden="1" customHeight="1">
      <c r="A451" s="97"/>
      <c r="B451" s="102" t="s">
        <v>1329</v>
      </c>
      <c r="C451" s="103" t="s">
        <v>10</v>
      </c>
      <c r="D451" s="104"/>
      <c r="E451" s="104">
        <v>11080000</v>
      </c>
      <c r="F451" s="100">
        <f t="shared" si="35"/>
        <v>-11080000</v>
      </c>
      <c r="G451" s="100">
        <f t="shared" si="35"/>
        <v>22160000</v>
      </c>
      <c r="H451" s="101" t="e">
        <f t="shared" si="34"/>
        <v>#VALUE!</v>
      </c>
      <c r="I451" s="101">
        <f t="shared" ref="I451:I467" si="39">F451-G451</f>
        <v>-33240000</v>
      </c>
      <c r="J451" s="101">
        <f t="shared" si="34"/>
        <v>-300</v>
      </c>
    </row>
    <row r="452" spans="1:10" ht="20.100000000000001" hidden="1" customHeight="1">
      <c r="A452" s="97"/>
      <c r="B452" s="102" t="s">
        <v>1330</v>
      </c>
      <c r="C452" s="103" t="s">
        <v>177</v>
      </c>
      <c r="D452" s="104"/>
      <c r="E452" s="104">
        <v>2680000</v>
      </c>
      <c r="F452" s="100">
        <f t="shared" si="35"/>
        <v>-2680000</v>
      </c>
      <c r="G452" s="100">
        <f t="shared" si="35"/>
        <v>5360000</v>
      </c>
      <c r="H452" s="101" t="e">
        <f t="shared" si="34"/>
        <v>#VALUE!</v>
      </c>
      <c r="I452" s="101">
        <f t="shared" si="39"/>
        <v>-8040000</v>
      </c>
      <c r="J452" s="101">
        <f t="shared" si="34"/>
        <v>-300</v>
      </c>
    </row>
    <row r="453" spans="1:10" ht="20.100000000000001" hidden="1" customHeight="1">
      <c r="A453" s="97"/>
      <c r="B453" s="102" t="s">
        <v>1331</v>
      </c>
      <c r="C453" s="103" t="s">
        <v>283</v>
      </c>
      <c r="D453" s="104">
        <v>2680000</v>
      </c>
      <c r="E453" s="104">
        <v>2680000</v>
      </c>
      <c r="F453" s="100">
        <f t="shared" si="35"/>
        <v>0</v>
      </c>
      <c r="G453" s="100">
        <f t="shared" si="35"/>
        <v>2680000</v>
      </c>
      <c r="H453" s="101" t="e">
        <f t="shared" si="34"/>
        <v>#VALUE!</v>
      </c>
      <c r="I453" s="101">
        <f t="shared" si="39"/>
        <v>-2680000</v>
      </c>
      <c r="J453" s="101">
        <f t="shared" si="34"/>
        <v>-100</v>
      </c>
    </row>
    <row r="454" spans="1:10" ht="20.100000000000001" hidden="1" customHeight="1">
      <c r="A454" s="97"/>
      <c r="B454" s="102" t="s">
        <v>1332</v>
      </c>
      <c r="C454" s="103" t="s">
        <v>341</v>
      </c>
      <c r="D454" s="104"/>
      <c r="E454" s="104">
        <v>8400000</v>
      </c>
      <c r="F454" s="100">
        <f t="shared" si="35"/>
        <v>-8400000</v>
      </c>
      <c r="G454" s="100">
        <f t="shared" si="35"/>
        <v>16800000</v>
      </c>
      <c r="H454" s="101" t="e">
        <f t="shared" si="34"/>
        <v>#VALUE!</v>
      </c>
      <c r="I454" s="101">
        <f t="shared" si="39"/>
        <v>-25200000</v>
      </c>
      <c r="J454" s="101">
        <f t="shared" si="34"/>
        <v>-300</v>
      </c>
    </row>
    <row r="455" spans="1:10" ht="20.100000000000001" hidden="1" customHeight="1">
      <c r="A455" s="97"/>
      <c r="B455" s="102" t="s">
        <v>1333</v>
      </c>
      <c r="C455" s="103" t="s">
        <v>283</v>
      </c>
      <c r="D455" s="104">
        <v>8400000</v>
      </c>
      <c r="E455" s="104">
        <v>8400000</v>
      </c>
      <c r="F455" s="100">
        <f t="shared" si="35"/>
        <v>0</v>
      </c>
      <c r="G455" s="100">
        <f t="shared" si="35"/>
        <v>8400000</v>
      </c>
      <c r="H455" s="101" t="e">
        <f t="shared" si="34"/>
        <v>#VALUE!</v>
      </c>
      <c r="I455" s="101">
        <f t="shared" si="39"/>
        <v>-8400000</v>
      </c>
      <c r="J455" s="101">
        <f t="shared" si="34"/>
        <v>-100</v>
      </c>
    </row>
    <row r="456" spans="1:10" ht="20.100000000000001" hidden="1" customHeight="1">
      <c r="A456" s="97"/>
      <c r="B456" s="102" t="s">
        <v>1334</v>
      </c>
      <c r="C456" s="103" t="s">
        <v>143</v>
      </c>
      <c r="D456" s="104"/>
      <c r="E456" s="104">
        <v>26199000</v>
      </c>
      <c r="F456" s="100">
        <f t="shared" si="35"/>
        <v>-26199000</v>
      </c>
      <c r="G456" s="100">
        <f t="shared" si="35"/>
        <v>52398000</v>
      </c>
      <c r="H456" s="101" t="e">
        <f t="shared" si="34"/>
        <v>#VALUE!</v>
      </c>
      <c r="I456" s="101">
        <f t="shared" si="39"/>
        <v>-78597000</v>
      </c>
      <c r="J456" s="101">
        <f t="shared" si="34"/>
        <v>-300</v>
      </c>
    </row>
    <row r="457" spans="1:10" ht="20.100000000000001" hidden="1" customHeight="1">
      <c r="A457" s="97"/>
      <c r="B457" s="102" t="s">
        <v>1335</v>
      </c>
      <c r="C457" s="103" t="s">
        <v>145</v>
      </c>
      <c r="D457" s="104"/>
      <c r="E457" s="104">
        <v>1560000</v>
      </c>
      <c r="F457" s="100">
        <f t="shared" si="35"/>
        <v>-1560000</v>
      </c>
      <c r="G457" s="100">
        <f t="shared" si="35"/>
        <v>3120000</v>
      </c>
      <c r="H457" s="101" t="e">
        <f t="shared" si="34"/>
        <v>#VALUE!</v>
      </c>
      <c r="I457" s="101">
        <f t="shared" si="39"/>
        <v>-4680000</v>
      </c>
      <c r="J457" s="101">
        <f t="shared" si="34"/>
        <v>-300</v>
      </c>
    </row>
    <row r="458" spans="1:10" ht="20.100000000000001" hidden="1" customHeight="1">
      <c r="A458" s="97"/>
      <c r="B458" s="102" t="s">
        <v>1336</v>
      </c>
      <c r="C458" s="103" t="s">
        <v>147</v>
      </c>
      <c r="D458" s="104">
        <v>1560000</v>
      </c>
      <c r="E458" s="104">
        <v>1560000</v>
      </c>
      <c r="F458" s="100">
        <f t="shared" si="35"/>
        <v>0</v>
      </c>
      <c r="G458" s="100">
        <f t="shared" si="35"/>
        <v>1560000</v>
      </c>
      <c r="H458" s="101" t="e">
        <f t="shared" ref="H458:J521" si="40">G458/C458*100</f>
        <v>#VALUE!</v>
      </c>
      <c r="I458" s="101">
        <f t="shared" si="39"/>
        <v>-1560000</v>
      </c>
      <c r="J458" s="101">
        <f t="shared" si="40"/>
        <v>-100</v>
      </c>
    </row>
    <row r="459" spans="1:10" ht="20.100000000000001" hidden="1" customHeight="1">
      <c r="A459" s="97"/>
      <c r="B459" s="102" t="s">
        <v>1337</v>
      </c>
      <c r="C459" s="103" t="s">
        <v>163</v>
      </c>
      <c r="D459" s="104"/>
      <c r="E459" s="104">
        <v>8000000</v>
      </c>
      <c r="F459" s="100">
        <f t="shared" ref="F459:G522" si="41">D459-E459</f>
        <v>-8000000</v>
      </c>
      <c r="G459" s="100">
        <f t="shared" si="41"/>
        <v>16000000</v>
      </c>
      <c r="H459" s="101" t="e">
        <f t="shared" si="40"/>
        <v>#VALUE!</v>
      </c>
      <c r="I459" s="101">
        <f t="shared" si="39"/>
        <v>-24000000</v>
      </c>
      <c r="J459" s="101">
        <f t="shared" si="40"/>
        <v>-300</v>
      </c>
    </row>
    <row r="460" spans="1:10" ht="20.100000000000001" hidden="1" customHeight="1">
      <c r="A460" s="97"/>
      <c r="B460" s="102" t="s">
        <v>1338</v>
      </c>
      <c r="C460" s="103" t="s">
        <v>352</v>
      </c>
      <c r="D460" s="104">
        <v>8000000</v>
      </c>
      <c r="E460" s="104">
        <v>8000000</v>
      </c>
      <c r="F460" s="100">
        <f t="shared" si="41"/>
        <v>0</v>
      </c>
      <c r="G460" s="100">
        <f t="shared" si="41"/>
        <v>8000000</v>
      </c>
      <c r="H460" s="101" t="e">
        <f t="shared" si="40"/>
        <v>#VALUE!</v>
      </c>
      <c r="I460" s="101">
        <f t="shared" si="39"/>
        <v>-8000000</v>
      </c>
      <c r="J460" s="101">
        <f t="shared" si="40"/>
        <v>-100</v>
      </c>
    </row>
    <row r="461" spans="1:10" ht="20.100000000000001" hidden="1" customHeight="1">
      <c r="A461" s="97"/>
      <c r="B461" s="102" t="s">
        <v>1339</v>
      </c>
      <c r="C461" s="103" t="s">
        <v>151</v>
      </c>
      <c r="D461" s="104"/>
      <c r="E461" s="104">
        <v>1400000</v>
      </c>
      <c r="F461" s="100">
        <f t="shared" si="41"/>
        <v>-1400000</v>
      </c>
      <c r="G461" s="100">
        <f t="shared" si="41"/>
        <v>2800000</v>
      </c>
      <c r="H461" s="101" t="e">
        <f t="shared" si="40"/>
        <v>#VALUE!</v>
      </c>
      <c r="I461" s="101">
        <f t="shared" si="39"/>
        <v>-4200000</v>
      </c>
      <c r="J461" s="101">
        <f t="shared" si="40"/>
        <v>-300</v>
      </c>
    </row>
    <row r="462" spans="1:10" ht="20.100000000000001" hidden="1" customHeight="1">
      <c r="A462" s="97"/>
      <c r="B462" s="102" t="s">
        <v>1340</v>
      </c>
      <c r="C462" s="103" t="s">
        <v>155</v>
      </c>
      <c r="D462" s="104">
        <v>1400000</v>
      </c>
      <c r="E462" s="104">
        <v>1400000</v>
      </c>
      <c r="F462" s="100">
        <f t="shared" si="41"/>
        <v>0</v>
      </c>
      <c r="G462" s="100">
        <f t="shared" si="41"/>
        <v>1400000</v>
      </c>
      <c r="H462" s="101" t="e">
        <f t="shared" si="40"/>
        <v>#VALUE!</v>
      </c>
      <c r="I462" s="101">
        <f t="shared" si="39"/>
        <v>-1400000</v>
      </c>
      <c r="J462" s="101">
        <f t="shared" si="40"/>
        <v>-100</v>
      </c>
    </row>
    <row r="463" spans="1:10" ht="20.100000000000001" hidden="1" customHeight="1">
      <c r="A463" s="97"/>
      <c r="B463" s="102" t="s">
        <v>1341</v>
      </c>
      <c r="C463" s="103" t="s">
        <v>193</v>
      </c>
      <c r="D463" s="104"/>
      <c r="E463" s="104">
        <v>9639000</v>
      </c>
      <c r="F463" s="100">
        <f t="shared" si="41"/>
        <v>-9639000</v>
      </c>
      <c r="G463" s="100">
        <f t="shared" si="41"/>
        <v>19278000</v>
      </c>
      <c r="H463" s="101" t="e">
        <f t="shared" si="40"/>
        <v>#VALUE!</v>
      </c>
      <c r="I463" s="101">
        <f t="shared" si="39"/>
        <v>-28917000</v>
      </c>
      <c r="J463" s="101">
        <f t="shared" si="40"/>
        <v>-300</v>
      </c>
    </row>
    <row r="464" spans="1:10" ht="20.100000000000001" hidden="1" customHeight="1">
      <c r="A464" s="97"/>
      <c r="B464" s="102" t="s">
        <v>1342</v>
      </c>
      <c r="C464" s="103" t="s">
        <v>195</v>
      </c>
      <c r="D464" s="104">
        <v>9639000</v>
      </c>
      <c r="E464" s="104">
        <v>9639000</v>
      </c>
      <c r="F464" s="100">
        <f t="shared" si="41"/>
        <v>0</v>
      </c>
      <c r="G464" s="100">
        <f t="shared" si="41"/>
        <v>9639000</v>
      </c>
      <c r="H464" s="101" t="e">
        <f t="shared" si="40"/>
        <v>#VALUE!</v>
      </c>
      <c r="I464" s="101">
        <f t="shared" si="39"/>
        <v>-9639000</v>
      </c>
      <c r="J464" s="101">
        <f t="shared" si="40"/>
        <v>-100</v>
      </c>
    </row>
    <row r="465" spans="1:10" ht="20.100000000000001" hidden="1" customHeight="1">
      <c r="A465" s="97"/>
      <c r="B465" s="102" t="s">
        <v>1343</v>
      </c>
      <c r="C465" s="103" t="s">
        <v>157</v>
      </c>
      <c r="D465" s="104"/>
      <c r="E465" s="104">
        <v>5600000</v>
      </c>
      <c r="F465" s="100">
        <f t="shared" si="41"/>
        <v>-5600000</v>
      </c>
      <c r="G465" s="100">
        <f t="shared" si="41"/>
        <v>11200000</v>
      </c>
      <c r="H465" s="101" t="e">
        <f t="shared" si="40"/>
        <v>#VALUE!</v>
      </c>
      <c r="I465" s="101">
        <f t="shared" si="39"/>
        <v>-16800000</v>
      </c>
      <c r="J465" s="101">
        <f t="shared" si="40"/>
        <v>-300</v>
      </c>
    </row>
    <row r="466" spans="1:10" ht="20.100000000000001" hidden="1" customHeight="1">
      <c r="A466" s="97"/>
      <c r="B466" s="102" t="s">
        <v>1344</v>
      </c>
      <c r="C466" s="103" t="s">
        <v>159</v>
      </c>
      <c r="D466" s="104">
        <v>3350000</v>
      </c>
      <c r="E466" s="104">
        <v>3350000</v>
      </c>
      <c r="F466" s="100">
        <f t="shared" si="41"/>
        <v>0</v>
      </c>
      <c r="G466" s="100">
        <f t="shared" si="41"/>
        <v>3350000</v>
      </c>
      <c r="H466" s="101" t="e">
        <f t="shared" si="40"/>
        <v>#VALUE!</v>
      </c>
      <c r="I466" s="101">
        <f t="shared" si="39"/>
        <v>-3350000</v>
      </c>
      <c r="J466" s="101">
        <f t="shared" si="40"/>
        <v>-100</v>
      </c>
    </row>
    <row r="467" spans="1:10" ht="20.100000000000001" hidden="1" customHeight="1">
      <c r="A467" s="97"/>
      <c r="B467" s="102" t="s">
        <v>1345</v>
      </c>
      <c r="C467" s="103" t="s">
        <v>207</v>
      </c>
      <c r="D467" s="104">
        <v>2250000</v>
      </c>
      <c r="E467" s="104">
        <v>2250000</v>
      </c>
      <c r="F467" s="100">
        <f t="shared" si="41"/>
        <v>0</v>
      </c>
      <c r="G467" s="100">
        <f t="shared" si="41"/>
        <v>2250000</v>
      </c>
      <c r="H467" s="101" t="e">
        <f t="shared" si="40"/>
        <v>#VALUE!</v>
      </c>
      <c r="I467" s="101">
        <f t="shared" si="39"/>
        <v>-2250000</v>
      </c>
      <c r="J467" s="101">
        <f t="shared" si="40"/>
        <v>-100</v>
      </c>
    </row>
    <row r="468" spans="1:10" ht="20.100000000000001" customHeight="1">
      <c r="A468" s="105" t="s">
        <v>481</v>
      </c>
      <c r="B468" s="106" t="s">
        <v>1346</v>
      </c>
      <c r="C468" s="107" t="s">
        <v>460</v>
      </c>
      <c r="D468" s="108">
        <f>D469</f>
        <v>71322000</v>
      </c>
      <c r="E468" s="108">
        <f>E469</f>
        <v>50000000</v>
      </c>
      <c r="F468" s="109">
        <f t="shared" si="41"/>
        <v>21322000</v>
      </c>
      <c r="G468" s="109">
        <f>G469</f>
        <v>47062900</v>
      </c>
      <c r="H468" s="110">
        <f>G468/E468*100</f>
        <v>94.125799999999998</v>
      </c>
      <c r="I468" s="109">
        <f>I469</f>
        <v>2937100</v>
      </c>
      <c r="J468" s="110">
        <f t="shared" si="40"/>
        <v>5.8742000000000001</v>
      </c>
    </row>
    <row r="469" spans="1:10" ht="20.100000000000001" customHeight="1">
      <c r="A469" s="111">
        <v>29</v>
      </c>
      <c r="B469" s="193" t="s">
        <v>1347</v>
      </c>
      <c r="C469" s="195" t="s">
        <v>462</v>
      </c>
      <c r="D469" s="197">
        <f>SUM(D471:D489)</f>
        <v>71322000</v>
      </c>
      <c r="E469" s="197">
        <v>50000000</v>
      </c>
      <c r="F469" s="197">
        <f>D469-E469</f>
        <v>21322000</v>
      </c>
      <c r="G469" s="216">
        <f>'rekap REALISASI REKO '!AQ271</f>
        <v>47062900</v>
      </c>
      <c r="H469" s="214">
        <f>G469/E469*100</f>
        <v>94.125799999999998</v>
      </c>
      <c r="I469" s="214">
        <f>E469-G469</f>
        <v>2937100</v>
      </c>
      <c r="J469" s="214">
        <f>I469/E469*100</f>
        <v>5.8742000000000001</v>
      </c>
    </row>
    <row r="470" spans="1:10" ht="9" customHeight="1">
      <c r="A470" s="112"/>
      <c r="B470" s="194"/>
      <c r="C470" s="196"/>
      <c r="D470" s="198"/>
      <c r="E470" s="198"/>
      <c r="F470" s="198"/>
      <c r="G470" s="217"/>
      <c r="H470" s="215"/>
      <c r="I470" s="215"/>
      <c r="J470" s="215"/>
    </row>
    <row r="471" spans="1:10" ht="20.100000000000001" hidden="1" customHeight="1">
      <c r="A471" s="97"/>
      <c r="B471" s="102" t="s">
        <v>1348</v>
      </c>
      <c r="C471" s="103" t="s">
        <v>10</v>
      </c>
      <c r="D471" s="104"/>
      <c r="E471" s="104">
        <v>1720000</v>
      </c>
      <c r="F471" s="100">
        <f t="shared" si="41"/>
        <v>-1720000</v>
      </c>
      <c r="G471" s="100">
        <f t="shared" si="41"/>
        <v>3440000</v>
      </c>
      <c r="H471" s="101" t="e">
        <f t="shared" si="40"/>
        <v>#VALUE!</v>
      </c>
      <c r="I471" s="101">
        <f t="shared" ref="I471:I489" si="42">F471-G471</f>
        <v>-5160000</v>
      </c>
      <c r="J471" s="101">
        <f t="shared" si="40"/>
        <v>-300</v>
      </c>
    </row>
    <row r="472" spans="1:10" ht="20.100000000000001" hidden="1" customHeight="1">
      <c r="A472" s="97"/>
      <c r="B472" s="102" t="s">
        <v>1349</v>
      </c>
      <c r="C472" s="103" t="s">
        <v>177</v>
      </c>
      <c r="D472" s="104"/>
      <c r="E472" s="104">
        <v>1720000</v>
      </c>
      <c r="F472" s="100">
        <f t="shared" si="41"/>
        <v>-1720000</v>
      </c>
      <c r="G472" s="100">
        <f t="shared" si="41"/>
        <v>3440000</v>
      </c>
      <c r="H472" s="101" t="e">
        <f t="shared" si="40"/>
        <v>#VALUE!</v>
      </c>
      <c r="I472" s="101">
        <f t="shared" si="42"/>
        <v>-5160000</v>
      </c>
      <c r="J472" s="101">
        <f t="shared" si="40"/>
        <v>-300</v>
      </c>
    </row>
    <row r="473" spans="1:10" ht="20.100000000000001" hidden="1" customHeight="1">
      <c r="A473" s="97"/>
      <c r="B473" s="102" t="s">
        <v>1350</v>
      </c>
      <c r="C473" s="103" t="s">
        <v>283</v>
      </c>
      <c r="D473" s="104">
        <v>1720000</v>
      </c>
      <c r="E473" s="104">
        <v>1720000</v>
      </c>
      <c r="F473" s="100">
        <f t="shared" si="41"/>
        <v>0</v>
      </c>
      <c r="G473" s="100">
        <f t="shared" si="41"/>
        <v>1720000</v>
      </c>
      <c r="H473" s="101" t="e">
        <f t="shared" si="40"/>
        <v>#VALUE!</v>
      </c>
      <c r="I473" s="101">
        <f t="shared" si="42"/>
        <v>-1720000</v>
      </c>
      <c r="J473" s="101">
        <f t="shared" si="40"/>
        <v>-100</v>
      </c>
    </row>
    <row r="474" spans="1:10" ht="20.100000000000001" hidden="1" customHeight="1">
      <c r="A474" s="97"/>
      <c r="B474" s="102" t="s">
        <v>1351</v>
      </c>
      <c r="C474" s="103" t="s">
        <v>143</v>
      </c>
      <c r="D474" s="104"/>
      <c r="E474" s="104">
        <v>69602000</v>
      </c>
      <c r="F474" s="100">
        <f t="shared" si="41"/>
        <v>-69602000</v>
      </c>
      <c r="G474" s="100">
        <f t="shared" si="41"/>
        <v>139204000</v>
      </c>
      <c r="H474" s="101" t="e">
        <f t="shared" si="40"/>
        <v>#VALUE!</v>
      </c>
      <c r="I474" s="101">
        <f t="shared" si="42"/>
        <v>-208806000</v>
      </c>
      <c r="J474" s="101">
        <f t="shared" si="40"/>
        <v>-300</v>
      </c>
    </row>
    <row r="475" spans="1:10" ht="20.100000000000001" hidden="1" customHeight="1">
      <c r="A475" s="97"/>
      <c r="B475" s="102" t="s">
        <v>1352</v>
      </c>
      <c r="C475" s="103" t="s">
        <v>145</v>
      </c>
      <c r="D475" s="104"/>
      <c r="E475" s="104">
        <v>1804000</v>
      </c>
      <c r="F475" s="100">
        <f t="shared" si="41"/>
        <v>-1804000</v>
      </c>
      <c r="G475" s="100">
        <f t="shared" si="41"/>
        <v>3608000</v>
      </c>
      <c r="H475" s="101" t="e">
        <f t="shared" si="40"/>
        <v>#VALUE!</v>
      </c>
      <c r="I475" s="101">
        <f t="shared" si="42"/>
        <v>-5412000</v>
      </c>
      <c r="J475" s="101">
        <f t="shared" si="40"/>
        <v>-300</v>
      </c>
    </row>
    <row r="476" spans="1:10" ht="20.100000000000001" hidden="1" customHeight="1">
      <c r="A476" s="97"/>
      <c r="B476" s="102" t="s">
        <v>1353</v>
      </c>
      <c r="C476" s="103" t="s">
        <v>147</v>
      </c>
      <c r="D476" s="104">
        <v>1804000</v>
      </c>
      <c r="E476" s="104">
        <v>1804000</v>
      </c>
      <c r="F476" s="100">
        <f t="shared" si="41"/>
        <v>0</v>
      </c>
      <c r="G476" s="100">
        <f t="shared" si="41"/>
        <v>1804000</v>
      </c>
      <c r="H476" s="101" t="e">
        <f t="shared" si="40"/>
        <v>#VALUE!</v>
      </c>
      <c r="I476" s="101">
        <f t="shared" si="42"/>
        <v>-1804000</v>
      </c>
      <c r="J476" s="101">
        <f t="shared" si="40"/>
        <v>-100</v>
      </c>
    </row>
    <row r="477" spans="1:10" ht="20.100000000000001" hidden="1" customHeight="1">
      <c r="A477" s="97"/>
      <c r="B477" s="102" t="s">
        <v>1354</v>
      </c>
      <c r="C477" s="103" t="s">
        <v>163</v>
      </c>
      <c r="D477" s="104"/>
      <c r="E477" s="104">
        <v>47750000</v>
      </c>
      <c r="F477" s="100">
        <f t="shared" si="41"/>
        <v>-47750000</v>
      </c>
      <c r="G477" s="100">
        <f t="shared" si="41"/>
        <v>95500000</v>
      </c>
      <c r="H477" s="101" t="e">
        <f t="shared" si="40"/>
        <v>#VALUE!</v>
      </c>
      <c r="I477" s="101">
        <f t="shared" si="42"/>
        <v>-143250000</v>
      </c>
      <c r="J477" s="101">
        <f t="shared" si="40"/>
        <v>-300</v>
      </c>
    </row>
    <row r="478" spans="1:10" ht="20.100000000000001" hidden="1" customHeight="1">
      <c r="A478" s="97"/>
      <c r="B478" s="102" t="s">
        <v>1355</v>
      </c>
      <c r="C478" s="103" t="s">
        <v>447</v>
      </c>
      <c r="D478" s="104">
        <v>42000000</v>
      </c>
      <c r="E478" s="104">
        <v>42000000</v>
      </c>
      <c r="F478" s="100">
        <f t="shared" si="41"/>
        <v>0</v>
      </c>
      <c r="G478" s="100">
        <f t="shared" si="41"/>
        <v>42000000</v>
      </c>
      <c r="H478" s="101" t="e">
        <f t="shared" si="40"/>
        <v>#VALUE!</v>
      </c>
      <c r="I478" s="101">
        <f t="shared" si="42"/>
        <v>-42000000</v>
      </c>
      <c r="J478" s="101">
        <f t="shared" si="40"/>
        <v>-100</v>
      </c>
    </row>
    <row r="479" spans="1:10" ht="20.100000000000001" hidden="1" customHeight="1">
      <c r="A479" s="97"/>
      <c r="B479" s="102" t="s">
        <v>1356</v>
      </c>
      <c r="C479" s="103" t="s">
        <v>352</v>
      </c>
      <c r="D479" s="104">
        <v>3250000</v>
      </c>
      <c r="E479" s="104">
        <v>3250000</v>
      </c>
      <c r="F479" s="100">
        <f t="shared" si="41"/>
        <v>0</v>
      </c>
      <c r="G479" s="100">
        <f t="shared" si="41"/>
        <v>3250000</v>
      </c>
      <c r="H479" s="101" t="e">
        <f t="shared" si="40"/>
        <v>#VALUE!</v>
      </c>
      <c r="I479" s="101">
        <f t="shared" si="42"/>
        <v>-3250000</v>
      </c>
      <c r="J479" s="101">
        <f t="shared" si="40"/>
        <v>-100</v>
      </c>
    </row>
    <row r="480" spans="1:10" ht="20.100000000000001" hidden="1" customHeight="1">
      <c r="A480" s="97"/>
      <c r="B480" s="102" t="s">
        <v>1357</v>
      </c>
      <c r="C480" s="103" t="s">
        <v>1358</v>
      </c>
      <c r="D480" s="104">
        <v>2500000</v>
      </c>
      <c r="E480" s="104">
        <v>2500000</v>
      </c>
      <c r="F480" s="100">
        <f t="shared" si="41"/>
        <v>0</v>
      </c>
      <c r="G480" s="100">
        <f t="shared" si="41"/>
        <v>2500000</v>
      </c>
      <c r="H480" s="101" t="e">
        <f t="shared" si="40"/>
        <v>#VALUE!</v>
      </c>
      <c r="I480" s="101">
        <f t="shared" si="42"/>
        <v>-2500000</v>
      </c>
      <c r="J480" s="101">
        <f t="shared" si="40"/>
        <v>-100</v>
      </c>
    </row>
    <row r="481" spans="1:10" ht="20.100000000000001" hidden="1" customHeight="1">
      <c r="A481" s="97"/>
      <c r="B481" s="102" t="s">
        <v>1359</v>
      </c>
      <c r="C481" s="103" t="s">
        <v>151</v>
      </c>
      <c r="D481" s="104"/>
      <c r="E481" s="104">
        <v>575000</v>
      </c>
      <c r="F481" s="100">
        <f t="shared" si="41"/>
        <v>-575000</v>
      </c>
      <c r="G481" s="100">
        <f t="shared" si="41"/>
        <v>1150000</v>
      </c>
      <c r="H481" s="101" t="e">
        <f t="shared" si="40"/>
        <v>#VALUE!</v>
      </c>
      <c r="I481" s="101">
        <f t="shared" si="42"/>
        <v>-1725000</v>
      </c>
      <c r="J481" s="101">
        <f t="shared" si="40"/>
        <v>-300</v>
      </c>
    </row>
    <row r="482" spans="1:10" ht="20.100000000000001" hidden="1" customHeight="1">
      <c r="A482" s="97"/>
      <c r="B482" s="102" t="s">
        <v>1360</v>
      </c>
      <c r="C482" s="103" t="s">
        <v>155</v>
      </c>
      <c r="D482" s="104">
        <v>575000</v>
      </c>
      <c r="E482" s="104">
        <v>575000</v>
      </c>
      <c r="F482" s="100">
        <f t="shared" si="41"/>
        <v>0</v>
      </c>
      <c r="G482" s="100">
        <f t="shared" si="41"/>
        <v>575000</v>
      </c>
      <c r="H482" s="101" t="e">
        <f t="shared" si="40"/>
        <v>#VALUE!</v>
      </c>
      <c r="I482" s="101">
        <f t="shared" si="42"/>
        <v>-575000</v>
      </c>
      <c r="J482" s="101">
        <f t="shared" si="40"/>
        <v>-100</v>
      </c>
    </row>
    <row r="483" spans="1:10" ht="20.100000000000001" hidden="1" customHeight="1">
      <c r="A483" s="97"/>
      <c r="B483" s="102" t="s">
        <v>1361</v>
      </c>
      <c r="C483" s="103" t="s">
        <v>193</v>
      </c>
      <c r="D483" s="104"/>
      <c r="E483" s="104">
        <v>4083000</v>
      </c>
      <c r="F483" s="100">
        <f t="shared" si="41"/>
        <v>-4083000</v>
      </c>
      <c r="G483" s="100">
        <f t="shared" si="41"/>
        <v>8166000</v>
      </c>
      <c r="H483" s="101" t="e">
        <f t="shared" si="40"/>
        <v>#VALUE!</v>
      </c>
      <c r="I483" s="101">
        <f t="shared" si="42"/>
        <v>-12249000</v>
      </c>
      <c r="J483" s="101">
        <f t="shared" si="40"/>
        <v>-300</v>
      </c>
    </row>
    <row r="484" spans="1:10" ht="20.100000000000001" hidden="1" customHeight="1">
      <c r="A484" s="97"/>
      <c r="B484" s="102" t="s">
        <v>1362</v>
      </c>
      <c r="C484" s="103" t="s">
        <v>195</v>
      </c>
      <c r="D484" s="104">
        <v>4083000</v>
      </c>
      <c r="E484" s="104">
        <v>4083000</v>
      </c>
      <c r="F484" s="100">
        <f t="shared" si="41"/>
        <v>0</v>
      </c>
      <c r="G484" s="100">
        <f t="shared" si="41"/>
        <v>4083000</v>
      </c>
      <c r="H484" s="101" t="e">
        <f t="shared" si="40"/>
        <v>#VALUE!</v>
      </c>
      <c r="I484" s="101">
        <f t="shared" si="42"/>
        <v>-4083000</v>
      </c>
      <c r="J484" s="101">
        <f t="shared" si="40"/>
        <v>-100</v>
      </c>
    </row>
    <row r="485" spans="1:10" ht="20.100000000000001" hidden="1" customHeight="1">
      <c r="A485" s="97"/>
      <c r="B485" s="102" t="s">
        <v>1363</v>
      </c>
      <c r="C485" s="103" t="s">
        <v>157</v>
      </c>
      <c r="D485" s="104"/>
      <c r="E485" s="104">
        <v>8990000</v>
      </c>
      <c r="F485" s="100">
        <f t="shared" si="41"/>
        <v>-8990000</v>
      </c>
      <c r="G485" s="100">
        <f t="shared" si="41"/>
        <v>17980000</v>
      </c>
      <c r="H485" s="101" t="e">
        <f t="shared" si="40"/>
        <v>#VALUE!</v>
      </c>
      <c r="I485" s="101">
        <f t="shared" si="42"/>
        <v>-26970000</v>
      </c>
      <c r="J485" s="101">
        <f t="shared" si="40"/>
        <v>-300</v>
      </c>
    </row>
    <row r="486" spans="1:10" ht="20.100000000000001" hidden="1" customHeight="1">
      <c r="A486" s="97"/>
      <c r="B486" s="102" t="s">
        <v>1364</v>
      </c>
      <c r="C486" s="103" t="s">
        <v>159</v>
      </c>
      <c r="D486" s="104">
        <v>3690000</v>
      </c>
      <c r="E486" s="104">
        <v>3690000</v>
      </c>
      <c r="F486" s="100">
        <f t="shared" si="41"/>
        <v>0</v>
      </c>
      <c r="G486" s="100">
        <f t="shared" si="41"/>
        <v>3690000</v>
      </c>
      <c r="H486" s="101" t="e">
        <f t="shared" si="40"/>
        <v>#VALUE!</v>
      </c>
      <c r="I486" s="101">
        <f t="shared" si="42"/>
        <v>-3690000</v>
      </c>
      <c r="J486" s="101">
        <f t="shared" si="40"/>
        <v>-100</v>
      </c>
    </row>
    <row r="487" spans="1:10" ht="20.100000000000001" hidden="1" customHeight="1">
      <c r="A487" s="97"/>
      <c r="B487" s="102" t="s">
        <v>1365</v>
      </c>
      <c r="C487" s="103" t="s">
        <v>207</v>
      </c>
      <c r="D487" s="104">
        <v>5300000</v>
      </c>
      <c r="E487" s="104">
        <v>5300000</v>
      </c>
      <c r="F487" s="100">
        <f t="shared" si="41"/>
        <v>0</v>
      </c>
      <c r="G487" s="100">
        <f t="shared" si="41"/>
        <v>5300000</v>
      </c>
      <c r="H487" s="101" t="e">
        <f t="shared" si="40"/>
        <v>#VALUE!</v>
      </c>
      <c r="I487" s="101">
        <f t="shared" si="42"/>
        <v>-5300000</v>
      </c>
      <c r="J487" s="101">
        <f t="shared" si="40"/>
        <v>-100</v>
      </c>
    </row>
    <row r="488" spans="1:10" ht="20.100000000000001" hidden="1" customHeight="1">
      <c r="A488" s="97"/>
      <c r="B488" s="102" t="s">
        <v>1366</v>
      </c>
      <c r="C488" s="103" t="s">
        <v>402</v>
      </c>
      <c r="D488" s="104"/>
      <c r="E488" s="104">
        <v>6400000</v>
      </c>
      <c r="F488" s="100">
        <f t="shared" si="41"/>
        <v>-6400000</v>
      </c>
      <c r="G488" s="100">
        <f t="shared" si="41"/>
        <v>12800000</v>
      </c>
      <c r="H488" s="101" t="e">
        <f t="shared" si="40"/>
        <v>#VALUE!</v>
      </c>
      <c r="I488" s="101">
        <f t="shared" si="42"/>
        <v>-19200000</v>
      </c>
      <c r="J488" s="101">
        <f t="shared" si="40"/>
        <v>-300</v>
      </c>
    </row>
    <row r="489" spans="1:10" ht="20.100000000000001" hidden="1" customHeight="1">
      <c r="A489" s="97"/>
      <c r="B489" s="102" t="s">
        <v>1367</v>
      </c>
      <c r="C489" s="103" t="s">
        <v>404</v>
      </c>
      <c r="D489" s="104">
        <v>6400000</v>
      </c>
      <c r="E489" s="104">
        <v>6400000</v>
      </c>
      <c r="F489" s="100">
        <f t="shared" si="41"/>
        <v>0</v>
      </c>
      <c r="G489" s="100">
        <f t="shared" si="41"/>
        <v>6400000</v>
      </c>
      <c r="H489" s="101" t="e">
        <f t="shared" si="40"/>
        <v>#VALUE!</v>
      </c>
      <c r="I489" s="101">
        <f t="shared" si="42"/>
        <v>-6400000</v>
      </c>
      <c r="J489" s="101">
        <f t="shared" si="40"/>
        <v>-100</v>
      </c>
    </row>
    <row r="490" spans="1:10" ht="20.100000000000001" customHeight="1">
      <c r="A490" s="105" t="s">
        <v>598</v>
      </c>
      <c r="B490" s="106" t="s">
        <v>1368</v>
      </c>
      <c r="C490" s="107" t="s">
        <v>33</v>
      </c>
      <c r="D490" s="108">
        <f>D491</f>
        <v>106134000</v>
      </c>
      <c r="E490" s="108">
        <f>E491</f>
        <v>77606000</v>
      </c>
      <c r="F490" s="109">
        <f t="shared" si="41"/>
        <v>28528000</v>
      </c>
      <c r="G490" s="109">
        <f>G491</f>
        <v>74892735</v>
      </c>
      <c r="H490" s="110">
        <f>G490/E490*100</f>
        <v>96.503794809679661</v>
      </c>
      <c r="I490" s="109">
        <f>I491</f>
        <v>2713265</v>
      </c>
      <c r="J490" s="110">
        <f t="shared" si="40"/>
        <v>3.4962051903203362</v>
      </c>
    </row>
    <row r="491" spans="1:10" ht="20.100000000000001" customHeight="1">
      <c r="A491" s="111">
        <v>30</v>
      </c>
      <c r="B491" s="193" t="s">
        <v>1369</v>
      </c>
      <c r="C491" s="195" t="s">
        <v>601</v>
      </c>
      <c r="D491" s="197">
        <f>SUM(D493:D513)</f>
        <v>106134000</v>
      </c>
      <c r="E491" s="197">
        <f>'rekap REALISASI REKO '!AB417</f>
        <v>77606000</v>
      </c>
      <c r="F491" s="197">
        <f>D491-E491</f>
        <v>28528000</v>
      </c>
      <c r="G491" s="216">
        <f>'rekap REALISASI REKO '!AQ417</f>
        <v>74892735</v>
      </c>
      <c r="H491" s="214">
        <f>G491/E491*100</f>
        <v>96.503794809679661</v>
      </c>
      <c r="I491" s="214">
        <f>E491-G491</f>
        <v>2713265</v>
      </c>
      <c r="J491" s="214">
        <f>I491/E491*100</f>
        <v>3.4962051903203362</v>
      </c>
    </row>
    <row r="492" spans="1:10" ht="20.100000000000001" customHeight="1">
      <c r="A492" s="112"/>
      <c r="B492" s="194"/>
      <c r="C492" s="196"/>
      <c r="D492" s="198"/>
      <c r="E492" s="198"/>
      <c r="F492" s="198"/>
      <c r="G492" s="217"/>
      <c r="H492" s="215"/>
      <c r="I492" s="215"/>
      <c r="J492" s="215"/>
    </row>
    <row r="493" spans="1:10" ht="20.100000000000001" hidden="1" customHeight="1">
      <c r="A493" s="97"/>
      <c r="B493" s="102" t="s">
        <v>1370</v>
      </c>
      <c r="C493" s="103" t="s">
        <v>10</v>
      </c>
      <c r="D493" s="104"/>
      <c r="E493" s="104">
        <v>7650000</v>
      </c>
      <c r="F493" s="100">
        <f t="shared" si="41"/>
        <v>-7650000</v>
      </c>
      <c r="G493" s="100">
        <f t="shared" si="41"/>
        <v>15300000</v>
      </c>
      <c r="H493" s="101" t="e">
        <f t="shared" si="40"/>
        <v>#VALUE!</v>
      </c>
      <c r="I493" s="101">
        <f t="shared" ref="I493:I513" si="43">F493-G493</f>
        <v>-22950000</v>
      </c>
      <c r="J493" s="101">
        <f t="shared" si="40"/>
        <v>-300</v>
      </c>
    </row>
    <row r="494" spans="1:10" ht="20.100000000000001" hidden="1" customHeight="1">
      <c r="A494" s="97"/>
      <c r="B494" s="102" t="s">
        <v>1371</v>
      </c>
      <c r="C494" s="103" t="s">
        <v>177</v>
      </c>
      <c r="D494" s="104"/>
      <c r="E494" s="104">
        <v>7650000</v>
      </c>
      <c r="F494" s="100">
        <f t="shared" si="41"/>
        <v>-7650000</v>
      </c>
      <c r="G494" s="100">
        <f t="shared" si="41"/>
        <v>15300000</v>
      </c>
      <c r="H494" s="101" t="e">
        <f t="shared" si="40"/>
        <v>#VALUE!</v>
      </c>
      <c r="I494" s="101">
        <f t="shared" si="43"/>
        <v>-22950000</v>
      </c>
      <c r="J494" s="101">
        <f t="shared" si="40"/>
        <v>-300</v>
      </c>
    </row>
    <row r="495" spans="1:10" ht="20.100000000000001" hidden="1" customHeight="1">
      <c r="A495" s="97"/>
      <c r="B495" s="102" t="s">
        <v>1372</v>
      </c>
      <c r="C495" s="103" t="s">
        <v>283</v>
      </c>
      <c r="D495" s="104">
        <v>7650000</v>
      </c>
      <c r="E495" s="104">
        <v>7650000</v>
      </c>
      <c r="F495" s="100">
        <f t="shared" si="41"/>
        <v>0</v>
      </c>
      <c r="G495" s="100">
        <f t="shared" si="41"/>
        <v>7650000</v>
      </c>
      <c r="H495" s="101" t="e">
        <f t="shared" si="40"/>
        <v>#VALUE!</v>
      </c>
      <c r="I495" s="101">
        <f t="shared" si="43"/>
        <v>-7650000</v>
      </c>
      <c r="J495" s="101">
        <f t="shared" si="40"/>
        <v>-100</v>
      </c>
    </row>
    <row r="496" spans="1:10" ht="20.100000000000001" hidden="1" customHeight="1">
      <c r="A496" s="97"/>
      <c r="B496" s="102" t="s">
        <v>1373</v>
      </c>
      <c r="C496" s="103" t="s">
        <v>143</v>
      </c>
      <c r="D496" s="104"/>
      <c r="E496" s="104">
        <v>98484000</v>
      </c>
      <c r="F496" s="100">
        <f t="shared" si="41"/>
        <v>-98484000</v>
      </c>
      <c r="G496" s="100">
        <f t="shared" si="41"/>
        <v>196968000</v>
      </c>
      <c r="H496" s="101" t="e">
        <f t="shared" si="40"/>
        <v>#VALUE!</v>
      </c>
      <c r="I496" s="101">
        <f t="shared" si="43"/>
        <v>-295452000</v>
      </c>
      <c r="J496" s="101">
        <f t="shared" si="40"/>
        <v>-300</v>
      </c>
    </row>
    <row r="497" spans="1:10" ht="20.100000000000001" hidden="1" customHeight="1">
      <c r="A497" s="97"/>
      <c r="B497" s="102" t="s">
        <v>1374</v>
      </c>
      <c r="C497" s="103" t="s">
        <v>145</v>
      </c>
      <c r="D497" s="104"/>
      <c r="E497" s="104">
        <v>3861000</v>
      </c>
      <c r="F497" s="100">
        <f t="shared" si="41"/>
        <v>-3861000</v>
      </c>
      <c r="G497" s="100">
        <f t="shared" si="41"/>
        <v>7722000</v>
      </c>
      <c r="H497" s="101" t="e">
        <f t="shared" si="40"/>
        <v>#VALUE!</v>
      </c>
      <c r="I497" s="101">
        <f t="shared" si="43"/>
        <v>-11583000</v>
      </c>
      <c r="J497" s="101">
        <f t="shared" si="40"/>
        <v>-300</v>
      </c>
    </row>
    <row r="498" spans="1:10" ht="20.100000000000001" hidden="1" customHeight="1">
      <c r="A498" s="97"/>
      <c r="B498" s="102" t="s">
        <v>1375</v>
      </c>
      <c r="C498" s="103" t="s">
        <v>147</v>
      </c>
      <c r="D498" s="104">
        <v>3861000</v>
      </c>
      <c r="E498" s="104">
        <v>3861000</v>
      </c>
      <c r="F498" s="100">
        <f t="shared" si="41"/>
        <v>0</v>
      </c>
      <c r="G498" s="100">
        <f t="shared" si="41"/>
        <v>3861000</v>
      </c>
      <c r="H498" s="101" t="e">
        <f t="shared" si="40"/>
        <v>#VALUE!</v>
      </c>
      <c r="I498" s="101">
        <f t="shared" si="43"/>
        <v>-3861000</v>
      </c>
      <c r="J498" s="101">
        <f t="shared" si="40"/>
        <v>-100</v>
      </c>
    </row>
    <row r="499" spans="1:10" ht="20.100000000000001" hidden="1" customHeight="1">
      <c r="A499" s="97"/>
      <c r="B499" s="102" t="s">
        <v>1376</v>
      </c>
      <c r="C499" s="103" t="s">
        <v>389</v>
      </c>
      <c r="D499" s="104"/>
      <c r="E499" s="104">
        <v>2000000</v>
      </c>
      <c r="F499" s="100">
        <f t="shared" si="41"/>
        <v>-2000000</v>
      </c>
      <c r="G499" s="100">
        <f t="shared" si="41"/>
        <v>4000000</v>
      </c>
      <c r="H499" s="101" t="e">
        <f t="shared" si="40"/>
        <v>#VALUE!</v>
      </c>
      <c r="I499" s="101">
        <f t="shared" si="43"/>
        <v>-6000000</v>
      </c>
      <c r="J499" s="101">
        <f t="shared" si="40"/>
        <v>-300</v>
      </c>
    </row>
    <row r="500" spans="1:10" ht="20.100000000000001" hidden="1" customHeight="1">
      <c r="A500" s="97"/>
      <c r="B500" s="102" t="s">
        <v>1377</v>
      </c>
      <c r="C500" s="103" t="s">
        <v>391</v>
      </c>
      <c r="D500" s="104">
        <v>2000000</v>
      </c>
      <c r="E500" s="104">
        <v>2000000</v>
      </c>
      <c r="F500" s="100">
        <f t="shared" si="41"/>
        <v>0</v>
      </c>
      <c r="G500" s="100">
        <f t="shared" si="41"/>
        <v>2000000</v>
      </c>
      <c r="H500" s="101" t="e">
        <f t="shared" si="40"/>
        <v>#VALUE!</v>
      </c>
      <c r="I500" s="101">
        <f t="shared" si="43"/>
        <v>-2000000</v>
      </c>
      <c r="J500" s="101">
        <f t="shared" si="40"/>
        <v>-100</v>
      </c>
    </row>
    <row r="501" spans="1:10" ht="20.100000000000001" hidden="1" customHeight="1">
      <c r="A501" s="97"/>
      <c r="B501" s="102" t="s">
        <v>1378</v>
      </c>
      <c r="C501" s="103" t="s">
        <v>163</v>
      </c>
      <c r="D501" s="104"/>
      <c r="E501" s="104">
        <v>55860000</v>
      </c>
      <c r="F501" s="100">
        <f t="shared" si="41"/>
        <v>-55860000</v>
      </c>
      <c r="G501" s="100">
        <f t="shared" si="41"/>
        <v>111720000</v>
      </c>
      <c r="H501" s="101" t="e">
        <f t="shared" si="40"/>
        <v>#VALUE!</v>
      </c>
      <c r="I501" s="101">
        <f t="shared" si="43"/>
        <v>-167580000</v>
      </c>
      <c r="J501" s="101">
        <f t="shared" si="40"/>
        <v>-300</v>
      </c>
    </row>
    <row r="502" spans="1:10" ht="20.100000000000001" hidden="1" customHeight="1">
      <c r="A502" s="97"/>
      <c r="B502" s="102" t="s">
        <v>1379</v>
      </c>
      <c r="C502" s="103" t="s">
        <v>447</v>
      </c>
      <c r="D502" s="104">
        <v>48000000</v>
      </c>
      <c r="E502" s="104">
        <v>48000000</v>
      </c>
      <c r="F502" s="100">
        <f t="shared" si="41"/>
        <v>0</v>
      </c>
      <c r="G502" s="100">
        <f t="shared" si="41"/>
        <v>48000000</v>
      </c>
      <c r="H502" s="101" t="e">
        <f t="shared" si="40"/>
        <v>#VALUE!</v>
      </c>
      <c r="I502" s="101">
        <f t="shared" si="43"/>
        <v>-48000000</v>
      </c>
      <c r="J502" s="101">
        <f t="shared" si="40"/>
        <v>-100</v>
      </c>
    </row>
    <row r="503" spans="1:10" ht="20.100000000000001" hidden="1" customHeight="1">
      <c r="A503" s="97"/>
      <c r="B503" s="102" t="s">
        <v>1380</v>
      </c>
      <c r="C503" s="103" t="s">
        <v>349</v>
      </c>
      <c r="D503" s="104">
        <v>360000</v>
      </c>
      <c r="E503" s="104">
        <v>360000</v>
      </c>
      <c r="F503" s="100">
        <f t="shared" si="41"/>
        <v>0</v>
      </c>
      <c r="G503" s="100">
        <f t="shared" si="41"/>
        <v>360000</v>
      </c>
      <c r="H503" s="101" t="e">
        <f t="shared" si="40"/>
        <v>#VALUE!</v>
      </c>
      <c r="I503" s="101">
        <f t="shared" si="43"/>
        <v>-360000</v>
      </c>
      <c r="J503" s="101">
        <f t="shared" si="40"/>
        <v>-100</v>
      </c>
    </row>
    <row r="504" spans="1:10" ht="20.100000000000001" hidden="1" customHeight="1">
      <c r="A504" s="97"/>
      <c r="B504" s="102" t="s">
        <v>1381</v>
      </c>
      <c r="C504" s="103" t="s">
        <v>352</v>
      </c>
      <c r="D504" s="104">
        <v>7500000</v>
      </c>
      <c r="E504" s="104">
        <v>7500000</v>
      </c>
      <c r="F504" s="100">
        <f t="shared" si="41"/>
        <v>0</v>
      </c>
      <c r="G504" s="100">
        <f t="shared" si="41"/>
        <v>7500000</v>
      </c>
      <c r="H504" s="101" t="e">
        <f t="shared" si="40"/>
        <v>#VALUE!</v>
      </c>
      <c r="I504" s="101">
        <f t="shared" si="43"/>
        <v>-7500000</v>
      </c>
      <c r="J504" s="101">
        <f t="shared" si="40"/>
        <v>-100</v>
      </c>
    </row>
    <row r="505" spans="1:10" ht="20.100000000000001" hidden="1" customHeight="1">
      <c r="A505" s="97"/>
      <c r="B505" s="102" t="s">
        <v>1382</v>
      </c>
      <c r="C505" s="103" t="s">
        <v>151</v>
      </c>
      <c r="D505" s="104"/>
      <c r="E505" s="104">
        <v>943000</v>
      </c>
      <c r="F505" s="100">
        <f t="shared" si="41"/>
        <v>-943000</v>
      </c>
      <c r="G505" s="100">
        <f t="shared" si="41"/>
        <v>1886000</v>
      </c>
      <c r="H505" s="101" t="e">
        <f t="shared" si="40"/>
        <v>#VALUE!</v>
      </c>
      <c r="I505" s="101">
        <f t="shared" si="43"/>
        <v>-2829000</v>
      </c>
      <c r="J505" s="101">
        <f t="shared" si="40"/>
        <v>-300</v>
      </c>
    </row>
    <row r="506" spans="1:10" ht="20.100000000000001" hidden="1" customHeight="1">
      <c r="A506" s="97"/>
      <c r="B506" s="102" t="s">
        <v>1383</v>
      </c>
      <c r="C506" s="103" t="s">
        <v>155</v>
      </c>
      <c r="D506" s="104">
        <v>943000</v>
      </c>
      <c r="E506" s="104">
        <v>943000</v>
      </c>
      <c r="F506" s="100">
        <f t="shared" si="41"/>
        <v>0</v>
      </c>
      <c r="G506" s="100">
        <f t="shared" si="41"/>
        <v>943000</v>
      </c>
      <c r="H506" s="101" t="e">
        <f t="shared" si="40"/>
        <v>#VALUE!</v>
      </c>
      <c r="I506" s="101">
        <f t="shared" si="43"/>
        <v>-943000</v>
      </c>
      <c r="J506" s="101">
        <f t="shared" si="40"/>
        <v>-100</v>
      </c>
    </row>
    <row r="507" spans="1:10" ht="20.100000000000001" hidden="1" customHeight="1">
      <c r="A507" s="97"/>
      <c r="B507" s="102" t="s">
        <v>1384</v>
      </c>
      <c r="C507" s="103" t="s">
        <v>193</v>
      </c>
      <c r="D507" s="104"/>
      <c r="E507" s="104">
        <v>8700000</v>
      </c>
      <c r="F507" s="100">
        <f t="shared" si="41"/>
        <v>-8700000</v>
      </c>
      <c r="G507" s="100">
        <f t="shared" si="41"/>
        <v>17400000</v>
      </c>
      <c r="H507" s="101" t="e">
        <f t="shared" si="40"/>
        <v>#VALUE!</v>
      </c>
      <c r="I507" s="101">
        <f t="shared" si="43"/>
        <v>-26100000</v>
      </c>
      <c r="J507" s="101">
        <f t="shared" si="40"/>
        <v>-300</v>
      </c>
    </row>
    <row r="508" spans="1:10" ht="20.100000000000001" hidden="1" customHeight="1">
      <c r="A508" s="97"/>
      <c r="B508" s="102" t="s">
        <v>1385</v>
      </c>
      <c r="C508" s="103" t="s">
        <v>195</v>
      </c>
      <c r="D508" s="104">
        <v>8700000</v>
      </c>
      <c r="E508" s="104">
        <v>8700000</v>
      </c>
      <c r="F508" s="100">
        <f t="shared" si="41"/>
        <v>0</v>
      </c>
      <c r="G508" s="100">
        <f t="shared" si="41"/>
        <v>8700000</v>
      </c>
      <c r="H508" s="101" t="e">
        <f t="shared" si="40"/>
        <v>#VALUE!</v>
      </c>
      <c r="I508" s="101">
        <f t="shared" si="43"/>
        <v>-8700000</v>
      </c>
      <c r="J508" s="101">
        <f t="shared" si="40"/>
        <v>-100</v>
      </c>
    </row>
    <row r="509" spans="1:10" ht="20.100000000000001" hidden="1" customHeight="1">
      <c r="A509" s="97"/>
      <c r="B509" s="102" t="s">
        <v>1386</v>
      </c>
      <c r="C509" s="103" t="s">
        <v>157</v>
      </c>
      <c r="D509" s="104"/>
      <c r="E509" s="104">
        <v>12920000</v>
      </c>
      <c r="F509" s="100">
        <f t="shared" si="41"/>
        <v>-12920000</v>
      </c>
      <c r="G509" s="100">
        <f t="shared" si="41"/>
        <v>25840000</v>
      </c>
      <c r="H509" s="101" t="e">
        <f t="shared" si="40"/>
        <v>#VALUE!</v>
      </c>
      <c r="I509" s="101">
        <f t="shared" si="43"/>
        <v>-38760000</v>
      </c>
      <c r="J509" s="101">
        <f t="shared" si="40"/>
        <v>-300</v>
      </c>
    </row>
    <row r="510" spans="1:10" ht="20.100000000000001" hidden="1" customHeight="1">
      <c r="A510" s="97"/>
      <c r="B510" s="102" t="s">
        <v>1387</v>
      </c>
      <c r="C510" s="103" t="s">
        <v>159</v>
      </c>
      <c r="D510" s="104">
        <v>8720000</v>
      </c>
      <c r="E510" s="104">
        <v>8720000</v>
      </c>
      <c r="F510" s="100">
        <f t="shared" si="41"/>
        <v>0</v>
      </c>
      <c r="G510" s="100">
        <f t="shared" si="41"/>
        <v>8720000</v>
      </c>
      <c r="H510" s="101" t="e">
        <f t="shared" si="40"/>
        <v>#VALUE!</v>
      </c>
      <c r="I510" s="101">
        <f t="shared" si="43"/>
        <v>-8720000</v>
      </c>
      <c r="J510" s="101">
        <f t="shared" si="40"/>
        <v>-100</v>
      </c>
    </row>
    <row r="511" spans="1:10" ht="20.100000000000001" hidden="1" customHeight="1">
      <c r="A511" s="97"/>
      <c r="B511" s="102" t="s">
        <v>1388</v>
      </c>
      <c r="C511" s="103" t="s">
        <v>207</v>
      </c>
      <c r="D511" s="104">
        <v>4200000</v>
      </c>
      <c r="E511" s="104">
        <v>4200000</v>
      </c>
      <c r="F511" s="100">
        <f t="shared" si="41"/>
        <v>0</v>
      </c>
      <c r="G511" s="100">
        <f t="shared" si="41"/>
        <v>4200000</v>
      </c>
      <c r="H511" s="101" t="e">
        <f t="shared" si="40"/>
        <v>#VALUE!</v>
      </c>
      <c r="I511" s="101">
        <f t="shared" si="43"/>
        <v>-4200000</v>
      </c>
      <c r="J511" s="101">
        <f t="shared" si="40"/>
        <v>-100</v>
      </c>
    </row>
    <row r="512" spans="1:10" ht="20.100000000000001" hidden="1" customHeight="1">
      <c r="A512" s="97"/>
      <c r="B512" s="102" t="s">
        <v>1389</v>
      </c>
      <c r="C512" s="103" t="s">
        <v>402</v>
      </c>
      <c r="D512" s="104"/>
      <c r="E512" s="104">
        <v>14200000</v>
      </c>
      <c r="F512" s="100">
        <f t="shared" si="41"/>
        <v>-14200000</v>
      </c>
      <c r="G512" s="100">
        <f t="shared" si="41"/>
        <v>28400000</v>
      </c>
      <c r="H512" s="101" t="e">
        <f t="shared" si="40"/>
        <v>#VALUE!</v>
      </c>
      <c r="I512" s="101">
        <f t="shared" si="43"/>
        <v>-42600000</v>
      </c>
      <c r="J512" s="101">
        <f t="shared" si="40"/>
        <v>-300</v>
      </c>
    </row>
    <row r="513" spans="1:10" ht="20.100000000000001" hidden="1" customHeight="1">
      <c r="A513" s="97"/>
      <c r="B513" s="102" t="s">
        <v>1390</v>
      </c>
      <c r="C513" s="103" t="s">
        <v>404</v>
      </c>
      <c r="D513" s="104">
        <v>14200000</v>
      </c>
      <c r="E513" s="104">
        <v>14200000</v>
      </c>
      <c r="F513" s="100">
        <f t="shared" si="41"/>
        <v>0</v>
      </c>
      <c r="G513" s="100">
        <f t="shared" si="41"/>
        <v>14200000</v>
      </c>
      <c r="H513" s="101" t="e">
        <f t="shared" si="40"/>
        <v>#VALUE!</v>
      </c>
      <c r="I513" s="101">
        <f t="shared" si="43"/>
        <v>-14200000</v>
      </c>
      <c r="J513" s="101">
        <f t="shared" si="40"/>
        <v>-100</v>
      </c>
    </row>
    <row r="514" spans="1:10" ht="20.100000000000001" customHeight="1">
      <c r="A514" s="105" t="s">
        <v>632</v>
      </c>
      <c r="B514" s="106" t="s">
        <v>1391</v>
      </c>
      <c r="C514" s="107" t="s">
        <v>750</v>
      </c>
      <c r="D514" s="108">
        <f>D515+D545+D573</f>
        <v>918381000</v>
      </c>
      <c r="E514" s="108">
        <f>E515+E545+E573</f>
        <v>849500000</v>
      </c>
      <c r="F514" s="109">
        <f t="shared" si="41"/>
        <v>68881000</v>
      </c>
      <c r="G514" s="109">
        <f>G515+G545+G573</f>
        <v>484781450</v>
      </c>
      <c r="H514" s="110">
        <f>G514/E514*100</f>
        <v>57.066680400235434</v>
      </c>
      <c r="I514" s="109">
        <f>I515+I545+I573</f>
        <v>364718550</v>
      </c>
      <c r="J514" s="110">
        <f t="shared" si="40"/>
        <v>42.933319599764566</v>
      </c>
    </row>
    <row r="515" spans="1:10" ht="20.100000000000001" customHeight="1">
      <c r="A515" s="111">
        <v>31</v>
      </c>
      <c r="B515" s="193" t="s">
        <v>1392</v>
      </c>
      <c r="C515" s="195" t="s">
        <v>34</v>
      </c>
      <c r="D515" s="197">
        <v>321675000</v>
      </c>
      <c r="E515" s="197">
        <f>'rekap REALISASI REKO '!AB549</f>
        <v>307000000</v>
      </c>
      <c r="F515" s="197">
        <f>D515-E515</f>
        <v>14675000</v>
      </c>
      <c r="G515" s="216">
        <v>190589100</v>
      </c>
      <c r="H515" s="214">
        <f>G515/E515*100</f>
        <v>62.081140065146577</v>
      </c>
      <c r="I515" s="214">
        <f>E515-G515</f>
        <v>116410900</v>
      </c>
      <c r="J515" s="214">
        <f>I515/E515*100</f>
        <v>37.918859934853423</v>
      </c>
    </row>
    <row r="516" spans="1:10" ht="6" customHeight="1">
      <c r="A516" s="112"/>
      <c r="B516" s="194"/>
      <c r="C516" s="196"/>
      <c r="D516" s="198"/>
      <c r="E516" s="198"/>
      <c r="F516" s="198"/>
      <c r="G516" s="217"/>
      <c r="H516" s="215"/>
      <c r="I516" s="215"/>
      <c r="J516" s="215"/>
    </row>
    <row r="517" spans="1:10" ht="20.100000000000001" hidden="1" customHeight="1">
      <c r="A517" s="97"/>
      <c r="B517" s="102" t="s">
        <v>1393</v>
      </c>
      <c r="C517" s="103" t="s">
        <v>10</v>
      </c>
      <c r="D517" s="104"/>
      <c r="E517" s="104">
        <v>21810000</v>
      </c>
      <c r="F517" s="100">
        <f t="shared" si="41"/>
        <v>-21810000</v>
      </c>
      <c r="G517" s="100">
        <f t="shared" si="41"/>
        <v>43620000</v>
      </c>
      <c r="H517" s="101" t="e">
        <f t="shared" si="40"/>
        <v>#VALUE!</v>
      </c>
      <c r="I517" s="101">
        <f t="shared" ref="I517:I544" si="44">F517-G517</f>
        <v>-65430000</v>
      </c>
      <c r="J517" s="101">
        <f t="shared" si="40"/>
        <v>-300</v>
      </c>
    </row>
    <row r="518" spans="1:10" ht="20.100000000000001" hidden="1" customHeight="1">
      <c r="A518" s="97"/>
      <c r="B518" s="102" t="s">
        <v>1394</v>
      </c>
      <c r="C518" s="103" t="s">
        <v>177</v>
      </c>
      <c r="D518" s="104"/>
      <c r="E518" s="104">
        <v>21810000</v>
      </c>
      <c r="F518" s="100">
        <f t="shared" si="41"/>
        <v>-21810000</v>
      </c>
      <c r="G518" s="100">
        <f t="shared" si="41"/>
        <v>43620000</v>
      </c>
      <c r="H518" s="101" t="e">
        <f t="shared" si="40"/>
        <v>#VALUE!</v>
      </c>
      <c r="I518" s="101">
        <f t="shared" si="44"/>
        <v>-65430000</v>
      </c>
      <c r="J518" s="101">
        <f t="shared" si="40"/>
        <v>-300</v>
      </c>
    </row>
    <row r="519" spans="1:10" ht="20.100000000000001" hidden="1" customHeight="1">
      <c r="A519" s="97"/>
      <c r="B519" s="102" t="s">
        <v>1395</v>
      </c>
      <c r="C519" s="103" t="s">
        <v>283</v>
      </c>
      <c r="D519" s="104">
        <v>19575000</v>
      </c>
      <c r="E519" s="104">
        <v>19575000</v>
      </c>
      <c r="F519" s="100">
        <f t="shared" si="41"/>
        <v>0</v>
      </c>
      <c r="G519" s="100">
        <f t="shared" si="41"/>
        <v>19575000</v>
      </c>
      <c r="H519" s="101" t="e">
        <f t="shared" si="40"/>
        <v>#VALUE!</v>
      </c>
      <c r="I519" s="101">
        <f t="shared" si="44"/>
        <v>-19575000</v>
      </c>
      <c r="J519" s="101">
        <f t="shared" si="40"/>
        <v>-100</v>
      </c>
    </row>
    <row r="520" spans="1:10" ht="20.100000000000001" hidden="1" customHeight="1">
      <c r="A520" s="97"/>
      <c r="B520" s="102" t="s">
        <v>1396</v>
      </c>
      <c r="C520" s="103" t="s">
        <v>384</v>
      </c>
      <c r="D520" s="104">
        <v>2235000</v>
      </c>
      <c r="E520" s="104">
        <v>2235000</v>
      </c>
      <c r="F520" s="100">
        <f t="shared" si="41"/>
        <v>0</v>
      </c>
      <c r="G520" s="100">
        <f t="shared" si="41"/>
        <v>2235000</v>
      </c>
      <c r="H520" s="101" t="e">
        <f t="shared" si="40"/>
        <v>#VALUE!</v>
      </c>
      <c r="I520" s="101">
        <f t="shared" si="44"/>
        <v>-2235000</v>
      </c>
      <c r="J520" s="101">
        <f t="shared" si="40"/>
        <v>-100</v>
      </c>
    </row>
    <row r="521" spans="1:10" ht="20.100000000000001" hidden="1" customHeight="1">
      <c r="A521" s="97"/>
      <c r="B521" s="102" t="s">
        <v>1397</v>
      </c>
      <c r="C521" s="103" t="s">
        <v>143</v>
      </c>
      <c r="D521" s="104"/>
      <c r="E521" s="104">
        <v>299865000</v>
      </c>
      <c r="F521" s="100">
        <f t="shared" si="41"/>
        <v>-299865000</v>
      </c>
      <c r="G521" s="100">
        <f t="shared" si="41"/>
        <v>599730000</v>
      </c>
      <c r="H521" s="101" t="e">
        <f t="shared" si="40"/>
        <v>#VALUE!</v>
      </c>
      <c r="I521" s="101">
        <f t="shared" si="44"/>
        <v>-899595000</v>
      </c>
      <c r="J521" s="101">
        <f t="shared" si="40"/>
        <v>-300</v>
      </c>
    </row>
    <row r="522" spans="1:10" ht="20.100000000000001" hidden="1" customHeight="1">
      <c r="A522" s="97"/>
      <c r="B522" s="102" t="s">
        <v>1398</v>
      </c>
      <c r="C522" s="103" t="s">
        <v>145</v>
      </c>
      <c r="D522" s="104"/>
      <c r="E522" s="104">
        <v>1372000</v>
      </c>
      <c r="F522" s="100">
        <f t="shared" si="41"/>
        <v>-1372000</v>
      </c>
      <c r="G522" s="100">
        <f t="shared" si="41"/>
        <v>2744000</v>
      </c>
      <c r="H522" s="101" t="e">
        <f t="shared" ref="H522:J585" si="45">G522/C522*100</f>
        <v>#VALUE!</v>
      </c>
      <c r="I522" s="101">
        <f t="shared" si="44"/>
        <v>-4116000</v>
      </c>
      <c r="J522" s="101">
        <f t="shared" si="45"/>
        <v>-300</v>
      </c>
    </row>
    <row r="523" spans="1:10" ht="20.100000000000001" hidden="1" customHeight="1">
      <c r="A523" s="97"/>
      <c r="B523" s="102" t="s">
        <v>1399</v>
      </c>
      <c r="C523" s="103" t="s">
        <v>147</v>
      </c>
      <c r="D523" s="104">
        <v>1372000</v>
      </c>
      <c r="E523" s="104">
        <v>1372000</v>
      </c>
      <c r="F523" s="100">
        <f t="shared" ref="F523:G586" si="46">D523-E523</f>
        <v>0</v>
      </c>
      <c r="G523" s="100">
        <f t="shared" si="46"/>
        <v>1372000</v>
      </c>
      <c r="H523" s="101" t="e">
        <f t="shared" si="45"/>
        <v>#VALUE!</v>
      </c>
      <c r="I523" s="101">
        <f t="shared" si="44"/>
        <v>-1372000</v>
      </c>
      <c r="J523" s="101">
        <f t="shared" si="45"/>
        <v>-100</v>
      </c>
    </row>
    <row r="524" spans="1:10" ht="20.100000000000001" hidden="1" customHeight="1">
      <c r="A524" s="97"/>
      <c r="B524" s="102" t="s">
        <v>1400</v>
      </c>
      <c r="C524" s="103" t="s">
        <v>389</v>
      </c>
      <c r="D524" s="104"/>
      <c r="E524" s="104">
        <v>2100000</v>
      </c>
      <c r="F524" s="100">
        <f t="shared" si="46"/>
        <v>-2100000</v>
      </c>
      <c r="G524" s="100">
        <f t="shared" si="46"/>
        <v>4200000</v>
      </c>
      <c r="H524" s="101" t="e">
        <f t="shared" si="45"/>
        <v>#VALUE!</v>
      </c>
      <c r="I524" s="101">
        <f t="shared" si="44"/>
        <v>-6300000</v>
      </c>
      <c r="J524" s="101">
        <f t="shared" si="45"/>
        <v>-300</v>
      </c>
    </row>
    <row r="525" spans="1:10" ht="20.100000000000001" hidden="1" customHeight="1">
      <c r="A525" s="97"/>
      <c r="B525" s="102" t="s">
        <v>1401</v>
      </c>
      <c r="C525" s="103" t="s">
        <v>391</v>
      </c>
      <c r="D525" s="104">
        <v>2100000</v>
      </c>
      <c r="E525" s="104">
        <v>2100000</v>
      </c>
      <c r="F525" s="100">
        <f t="shared" si="46"/>
        <v>0</v>
      </c>
      <c r="G525" s="100">
        <f t="shared" si="46"/>
        <v>2100000</v>
      </c>
      <c r="H525" s="101" t="e">
        <f t="shared" si="45"/>
        <v>#VALUE!</v>
      </c>
      <c r="I525" s="101">
        <f t="shared" si="44"/>
        <v>-2100000</v>
      </c>
      <c r="J525" s="101">
        <f t="shared" si="45"/>
        <v>-100</v>
      </c>
    </row>
    <row r="526" spans="1:10" ht="20.100000000000001" hidden="1" customHeight="1">
      <c r="A526" s="97"/>
      <c r="B526" s="102" t="s">
        <v>1402</v>
      </c>
      <c r="C526" s="103" t="s">
        <v>163</v>
      </c>
      <c r="D526" s="104"/>
      <c r="E526" s="104">
        <v>10000000</v>
      </c>
      <c r="F526" s="100">
        <f t="shared" si="46"/>
        <v>-10000000</v>
      </c>
      <c r="G526" s="100">
        <f t="shared" si="46"/>
        <v>20000000</v>
      </c>
      <c r="H526" s="101" t="e">
        <f t="shared" si="45"/>
        <v>#VALUE!</v>
      </c>
      <c r="I526" s="101">
        <f t="shared" si="44"/>
        <v>-30000000</v>
      </c>
      <c r="J526" s="101">
        <f t="shared" si="45"/>
        <v>-300</v>
      </c>
    </row>
    <row r="527" spans="1:10" ht="20.100000000000001" hidden="1" customHeight="1">
      <c r="A527" s="97"/>
      <c r="B527" s="102" t="s">
        <v>1403</v>
      </c>
      <c r="C527" s="103" t="s">
        <v>349</v>
      </c>
      <c r="D527" s="104">
        <v>7900000</v>
      </c>
      <c r="E527" s="104">
        <v>7900000</v>
      </c>
      <c r="F527" s="100">
        <f t="shared" si="46"/>
        <v>0</v>
      </c>
      <c r="G527" s="100">
        <f t="shared" si="46"/>
        <v>7900000</v>
      </c>
      <c r="H527" s="101" t="e">
        <f t="shared" si="45"/>
        <v>#VALUE!</v>
      </c>
      <c r="I527" s="101">
        <f t="shared" si="44"/>
        <v>-7900000</v>
      </c>
      <c r="J527" s="101">
        <f t="shared" si="45"/>
        <v>-100</v>
      </c>
    </row>
    <row r="528" spans="1:10" ht="20.100000000000001" hidden="1" customHeight="1">
      <c r="A528" s="97"/>
      <c r="B528" s="102" t="s">
        <v>1404</v>
      </c>
      <c r="C528" s="103" t="s">
        <v>352</v>
      </c>
      <c r="D528" s="104">
        <v>2100000</v>
      </c>
      <c r="E528" s="104">
        <v>2100000</v>
      </c>
      <c r="F528" s="100">
        <f t="shared" si="46"/>
        <v>0</v>
      </c>
      <c r="G528" s="100">
        <f t="shared" si="46"/>
        <v>2100000</v>
      </c>
      <c r="H528" s="101" t="e">
        <f t="shared" si="45"/>
        <v>#VALUE!</v>
      </c>
      <c r="I528" s="101">
        <f t="shared" si="44"/>
        <v>-2100000</v>
      </c>
      <c r="J528" s="101">
        <f t="shared" si="45"/>
        <v>-100</v>
      </c>
    </row>
    <row r="529" spans="1:10" ht="20.100000000000001" hidden="1" customHeight="1">
      <c r="A529" s="97"/>
      <c r="B529" s="102" t="s">
        <v>1405</v>
      </c>
      <c r="C529" s="103" t="s">
        <v>151</v>
      </c>
      <c r="D529" s="104"/>
      <c r="E529" s="104">
        <v>2579000</v>
      </c>
      <c r="F529" s="100">
        <f t="shared" si="46"/>
        <v>-2579000</v>
      </c>
      <c r="G529" s="100">
        <f t="shared" si="46"/>
        <v>5158000</v>
      </c>
      <c r="H529" s="101" t="e">
        <f t="shared" si="45"/>
        <v>#VALUE!</v>
      </c>
      <c r="I529" s="101">
        <f t="shared" si="44"/>
        <v>-7737000</v>
      </c>
      <c r="J529" s="101">
        <f t="shared" si="45"/>
        <v>-300</v>
      </c>
    </row>
    <row r="530" spans="1:10" ht="20.100000000000001" hidden="1" customHeight="1">
      <c r="A530" s="97"/>
      <c r="B530" s="102" t="s">
        <v>1406</v>
      </c>
      <c r="C530" s="103" t="s">
        <v>153</v>
      </c>
      <c r="D530" s="104">
        <v>1590000</v>
      </c>
      <c r="E530" s="104">
        <v>1590000</v>
      </c>
      <c r="F530" s="100">
        <f t="shared" si="46"/>
        <v>0</v>
      </c>
      <c r="G530" s="100">
        <f t="shared" si="46"/>
        <v>1590000</v>
      </c>
      <c r="H530" s="101" t="e">
        <f t="shared" si="45"/>
        <v>#VALUE!</v>
      </c>
      <c r="I530" s="101">
        <f t="shared" si="44"/>
        <v>-1590000</v>
      </c>
      <c r="J530" s="101">
        <f t="shared" si="45"/>
        <v>-100</v>
      </c>
    </row>
    <row r="531" spans="1:10" ht="20.100000000000001" hidden="1" customHeight="1">
      <c r="A531" s="97"/>
      <c r="B531" s="102" t="s">
        <v>1407</v>
      </c>
      <c r="C531" s="103" t="s">
        <v>155</v>
      </c>
      <c r="D531" s="104">
        <v>989000</v>
      </c>
      <c r="E531" s="104">
        <v>989000</v>
      </c>
      <c r="F531" s="100">
        <f t="shared" si="46"/>
        <v>0</v>
      </c>
      <c r="G531" s="100">
        <f t="shared" si="46"/>
        <v>989000</v>
      </c>
      <c r="H531" s="101" t="e">
        <f t="shared" si="45"/>
        <v>#VALUE!</v>
      </c>
      <c r="I531" s="101">
        <f t="shared" si="44"/>
        <v>-989000</v>
      </c>
      <c r="J531" s="101">
        <f t="shared" si="45"/>
        <v>-100</v>
      </c>
    </row>
    <row r="532" spans="1:10" ht="20.100000000000001" hidden="1" customHeight="1">
      <c r="A532" s="97"/>
      <c r="B532" s="102" t="s">
        <v>1408</v>
      </c>
      <c r="C532" s="103" t="s">
        <v>712</v>
      </c>
      <c r="D532" s="104"/>
      <c r="E532" s="104">
        <v>55000000</v>
      </c>
      <c r="F532" s="100">
        <f t="shared" si="46"/>
        <v>-55000000</v>
      </c>
      <c r="G532" s="100">
        <f t="shared" si="46"/>
        <v>110000000</v>
      </c>
      <c r="H532" s="101" t="e">
        <f t="shared" si="45"/>
        <v>#VALUE!</v>
      </c>
      <c r="I532" s="101">
        <f t="shared" si="44"/>
        <v>-165000000</v>
      </c>
      <c r="J532" s="101">
        <f t="shared" si="45"/>
        <v>-300</v>
      </c>
    </row>
    <row r="533" spans="1:10" ht="20.100000000000001" hidden="1" customHeight="1">
      <c r="A533" s="97"/>
      <c r="B533" s="102" t="s">
        <v>1409</v>
      </c>
      <c r="C533" s="103" t="s">
        <v>714</v>
      </c>
      <c r="D533" s="104">
        <v>55000000</v>
      </c>
      <c r="E533" s="104">
        <v>55000000</v>
      </c>
      <c r="F533" s="100">
        <f t="shared" si="46"/>
        <v>0</v>
      </c>
      <c r="G533" s="100">
        <f t="shared" si="46"/>
        <v>55000000</v>
      </c>
      <c r="H533" s="101" t="e">
        <f t="shared" si="45"/>
        <v>#VALUE!</v>
      </c>
      <c r="I533" s="101">
        <f t="shared" si="44"/>
        <v>-55000000</v>
      </c>
      <c r="J533" s="101">
        <f t="shared" si="45"/>
        <v>-100</v>
      </c>
    </row>
    <row r="534" spans="1:10" ht="20.100000000000001" hidden="1" customHeight="1">
      <c r="A534" s="97"/>
      <c r="B534" s="102" t="s">
        <v>1410</v>
      </c>
      <c r="C534" s="103" t="s">
        <v>328</v>
      </c>
      <c r="D534" s="104"/>
      <c r="E534" s="104">
        <v>15000000</v>
      </c>
      <c r="F534" s="100">
        <f t="shared" si="46"/>
        <v>-15000000</v>
      </c>
      <c r="G534" s="100">
        <f t="shared" si="46"/>
        <v>30000000</v>
      </c>
      <c r="H534" s="101" t="e">
        <f t="shared" si="45"/>
        <v>#VALUE!</v>
      </c>
      <c r="I534" s="101">
        <f t="shared" si="44"/>
        <v>-45000000</v>
      </c>
      <c r="J534" s="101">
        <f t="shared" si="45"/>
        <v>-300</v>
      </c>
    </row>
    <row r="535" spans="1:10" ht="20.100000000000001" hidden="1" customHeight="1">
      <c r="A535" s="97"/>
      <c r="B535" s="102" t="s">
        <v>1411</v>
      </c>
      <c r="C535" s="103" t="s">
        <v>330</v>
      </c>
      <c r="D535" s="104">
        <v>15000000</v>
      </c>
      <c r="E535" s="104">
        <v>15000000</v>
      </c>
      <c r="F535" s="100">
        <f t="shared" si="46"/>
        <v>0</v>
      </c>
      <c r="G535" s="100">
        <f t="shared" si="46"/>
        <v>15000000</v>
      </c>
      <c r="H535" s="101" t="e">
        <f t="shared" si="45"/>
        <v>#VALUE!</v>
      </c>
      <c r="I535" s="101">
        <f t="shared" si="44"/>
        <v>-15000000</v>
      </c>
      <c r="J535" s="101">
        <f t="shared" si="45"/>
        <v>-100</v>
      </c>
    </row>
    <row r="536" spans="1:10" ht="20.100000000000001" hidden="1" customHeight="1">
      <c r="A536" s="97"/>
      <c r="B536" s="102" t="s">
        <v>1412</v>
      </c>
      <c r="C536" s="103" t="s">
        <v>193</v>
      </c>
      <c r="D536" s="104"/>
      <c r="E536" s="104">
        <v>7979000</v>
      </c>
      <c r="F536" s="100">
        <f t="shared" si="46"/>
        <v>-7979000</v>
      </c>
      <c r="G536" s="100">
        <f t="shared" si="46"/>
        <v>15958000</v>
      </c>
      <c r="H536" s="101" t="e">
        <f t="shared" si="45"/>
        <v>#VALUE!</v>
      </c>
      <c r="I536" s="101">
        <f t="shared" si="44"/>
        <v>-23937000</v>
      </c>
      <c r="J536" s="101">
        <f t="shared" si="45"/>
        <v>-300</v>
      </c>
    </row>
    <row r="537" spans="1:10" ht="20.100000000000001" hidden="1" customHeight="1">
      <c r="A537" s="97"/>
      <c r="B537" s="102" t="s">
        <v>1413</v>
      </c>
      <c r="C537" s="103" t="s">
        <v>195</v>
      </c>
      <c r="D537" s="104">
        <v>7979000</v>
      </c>
      <c r="E537" s="104">
        <v>7979000</v>
      </c>
      <c r="F537" s="100">
        <f t="shared" si="46"/>
        <v>0</v>
      </c>
      <c r="G537" s="100">
        <f t="shared" si="46"/>
        <v>7979000</v>
      </c>
      <c r="H537" s="101" t="e">
        <f t="shared" si="45"/>
        <v>#VALUE!</v>
      </c>
      <c r="I537" s="101">
        <f t="shared" si="44"/>
        <v>-7979000</v>
      </c>
      <c r="J537" s="101">
        <f t="shared" si="45"/>
        <v>-100</v>
      </c>
    </row>
    <row r="538" spans="1:10" ht="20.100000000000001" hidden="1" customHeight="1">
      <c r="A538" s="97"/>
      <c r="B538" s="102" t="s">
        <v>1414</v>
      </c>
      <c r="C538" s="103" t="s">
        <v>157</v>
      </c>
      <c r="D538" s="104"/>
      <c r="E538" s="104">
        <v>161735000</v>
      </c>
      <c r="F538" s="100">
        <f t="shared" si="46"/>
        <v>-161735000</v>
      </c>
      <c r="G538" s="100">
        <f t="shared" si="46"/>
        <v>323470000</v>
      </c>
      <c r="H538" s="101" t="e">
        <f t="shared" si="45"/>
        <v>#VALUE!</v>
      </c>
      <c r="I538" s="101">
        <f t="shared" si="44"/>
        <v>-485205000</v>
      </c>
      <c r="J538" s="101">
        <f t="shared" si="45"/>
        <v>-300</v>
      </c>
    </row>
    <row r="539" spans="1:10" ht="20.100000000000001" hidden="1" customHeight="1">
      <c r="A539" s="97"/>
      <c r="B539" s="102" t="s">
        <v>1415</v>
      </c>
      <c r="C539" s="103" t="s">
        <v>159</v>
      </c>
      <c r="D539" s="104">
        <v>5760000</v>
      </c>
      <c r="E539" s="104">
        <v>5760000</v>
      </c>
      <c r="F539" s="100">
        <f t="shared" si="46"/>
        <v>0</v>
      </c>
      <c r="G539" s="100">
        <f t="shared" si="46"/>
        <v>5760000</v>
      </c>
      <c r="H539" s="101" t="e">
        <f t="shared" si="45"/>
        <v>#VALUE!</v>
      </c>
      <c r="I539" s="101">
        <f t="shared" si="44"/>
        <v>-5760000</v>
      </c>
      <c r="J539" s="101">
        <f t="shared" si="45"/>
        <v>-100</v>
      </c>
    </row>
    <row r="540" spans="1:10" ht="20.100000000000001" hidden="1" customHeight="1">
      <c r="A540" s="97"/>
      <c r="B540" s="102" t="s">
        <v>1416</v>
      </c>
      <c r="C540" s="103" t="s">
        <v>207</v>
      </c>
      <c r="D540" s="104">
        <v>155975000</v>
      </c>
      <c r="E540" s="104">
        <v>155975000</v>
      </c>
      <c r="F540" s="100">
        <f t="shared" si="46"/>
        <v>0</v>
      </c>
      <c r="G540" s="100">
        <f t="shared" si="46"/>
        <v>155975000</v>
      </c>
      <c r="H540" s="101" t="e">
        <f t="shared" si="45"/>
        <v>#VALUE!</v>
      </c>
      <c r="I540" s="101">
        <f t="shared" si="44"/>
        <v>-155975000</v>
      </c>
      <c r="J540" s="101">
        <f t="shared" si="45"/>
        <v>-100</v>
      </c>
    </row>
    <row r="541" spans="1:10" ht="20.100000000000001" hidden="1" customHeight="1">
      <c r="A541" s="97"/>
      <c r="B541" s="102" t="s">
        <v>1417</v>
      </c>
      <c r="C541" s="103" t="s">
        <v>812</v>
      </c>
      <c r="D541" s="104"/>
      <c r="E541" s="104">
        <v>42000000</v>
      </c>
      <c r="F541" s="100">
        <f t="shared" si="46"/>
        <v>-42000000</v>
      </c>
      <c r="G541" s="100">
        <f t="shared" si="46"/>
        <v>84000000</v>
      </c>
      <c r="H541" s="101" t="e">
        <f t="shared" si="45"/>
        <v>#VALUE!</v>
      </c>
      <c r="I541" s="101">
        <f t="shared" si="44"/>
        <v>-126000000</v>
      </c>
      <c r="J541" s="101">
        <f t="shared" si="45"/>
        <v>-300</v>
      </c>
    </row>
    <row r="542" spans="1:10" ht="20.100000000000001" hidden="1" customHeight="1">
      <c r="A542" s="97"/>
      <c r="B542" s="102" t="s">
        <v>1418</v>
      </c>
      <c r="C542" s="103" t="s">
        <v>814</v>
      </c>
      <c r="D542" s="104">
        <v>42000000</v>
      </c>
      <c r="E542" s="104">
        <v>42000000</v>
      </c>
      <c r="F542" s="100">
        <f t="shared" si="46"/>
        <v>0</v>
      </c>
      <c r="G542" s="100">
        <f t="shared" si="46"/>
        <v>42000000</v>
      </c>
      <c r="H542" s="101" t="e">
        <f t="shared" si="45"/>
        <v>#VALUE!</v>
      </c>
      <c r="I542" s="101">
        <f t="shared" si="44"/>
        <v>-42000000</v>
      </c>
      <c r="J542" s="101">
        <f t="shared" si="45"/>
        <v>-100</v>
      </c>
    </row>
    <row r="543" spans="1:10" ht="20.100000000000001" hidden="1" customHeight="1">
      <c r="A543" s="97"/>
      <c r="B543" s="102" t="s">
        <v>1419</v>
      </c>
      <c r="C543" s="103" t="s">
        <v>402</v>
      </c>
      <c r="D543" s="104"/>
      <c r="E543" s="104">
        <v>2100000</v>
      </c>
      <c r="F543" s="100">
        <f t="shared" si="46"/>
        <v>-2100000</v>
      </c>
      <c r="G543" s="100">
        <f t="shared" si="46"/>
        <v>4200000</v>
      </c>
      <c r="H543" s="101" t="e">
        <f t="shared" si="45"/>
        <v>#VALUE!</v>
      </c>
      <c r="I543" s="101">
        <f t="shared" si="44"/>
        <v>-6300000</v>
      </c>
      <c r="J543" s="101">
        <f t="shared" si="45"/>
        <v>-300</v>
      </c>
    </row>
    <row r="544" spans="1:10" ht="20.100000000000001" hidden="1" customHeight="1">
      <c r="A544" s="97"/>
      <c r="B544" s="102" t="s">
        <v>1420</v>
      </c>
      <c r="C544" s="103" t="s">
        <v>404</v>
      </c>
      <c r="D544" s="104">
        <v>2100000</v>
      </c>
      <c r="E544" s="104">
        <v>2100000</v>
      </c>
      <c r="F544" s="100">
        <f t="shared" si="46"/>
        <v>0</v>
      </c>
      <c r="G544" s="100">
        <f t="shared" si="46"/>
        <v>2100000</v>
      </c>
      <c r="H544" s="101" t="e">
        <f t="shared" si="45"/>
        <v>#VALUE!</v>
      </c>
      <c r="I544" s="101">
        <f t="shared" si="44"/>
        <v>-2100000</v>
      </c>
      <c r="J544" s="101">
        <f t="shared" si="45"/>
        <v>-100</v>
      </c>
    </row>
    <row r="545" spans="1:10" ht="20.100000000000001" customHeight="1">
      <c r="A545" s="111">
        <v>32</v>
      </c>
      <c r="B545" s="193" t="s">
        <v>1421</v>
      </c>
      <c r="C545" s="195" t="s">
        <v>35</v>
      </c>
      <c r="D545" s="197">
        <f>SUM(D547:D572)</f>
        <v>310400000</v>
      </c>
      <c r="E545" s="197">
        <f>'rekap REALISASI REKO '!AB607</f>
        <v>200000000</v>
      </c>
      <c r="F545" s="197">
        <f>D545-E545</f>
        <v>110400000</v>
      </c>
      <c r="G545" s="216">
        <f>'rekap REALISASI REKO '!AQ607</f>
        <v>131719700</v>
      </c>
      <c r="H545" s="214">
        <f>G545/E545*100</f>
        <v>65.859849999999994</v>
      </c>
      <c r="I545" s="214">
        <f>E545-G545</f>
        <v>68280300</v>
      </c>
      <c r="J545" s="214">
        <f>I545/E545*100</f>
        <v>34.140150000000006</v>
      </c>
    </row>
    <row r="546" spans="1:10" ht="5.25" customHeight="1">
      <c r="A546" s="112"/>
      <c r="B546" s="194"/>
      <c r="C546" s="196"/>
      <c r="D546" s="198"/>
      <c r="E546" s="198"/>
      <c r="F546" s="198"/>
      <c r="G546" s="217"/>
      <c r="H546" s="215"/>
      <c r="I546" s="215"/>
      <c r="J546" s="215"/>
    </row>
    <row r="547" spans="1:10" ht="20.100000000000001" hidden="1" customHeight="1">
      <c r="A547" s="97"/>
      <c r="B547" s="102" t="s">
        <v>1422</v>
      </c>
      <c r="C547" s="103" t="s">
        <v>10</v>
      </c>
      <c r="D547" s="104"/>
      <c r="E547" s="104">
        <v>15795000</v>
      </c>
      <c r="F547" s="100">
        <f t="shared" si="46"/>
        <v>-15795000</v>
      </c>
      <c r="G547" s="100">
        <f t="shared" si="46"/>
        <v>31590000</v>
      </c>
      <c r="H547" s="101" t="e">
        <f t="shared" si="45"/>
        <v>#VALUE!</v>
      </c>
      <c r="I547" s="101">
        <f t="shared" ref="I547:I572" si="47">F547-G547</f>
        <v>-47385000</v>
      </c>
      <c r="J547" s="101">
        <f t="shared" si="45"/>
        <v>-300</v>
      </c>
    </row>
    <row r="548" spans="1:10" ht="20.100000000000001" hidden="1" customHeight="1">
      <c r="A548" s="97"/>
      <c r="B548" s="102" t="s">
        <v>1423</v>
      </c>
      <c r="C548" s="103" t="s">
        <v>177</v>
      </c>
      <c r="D548" s="104"/>
      <c r="E548" s="104">
        <v>15795000</v>
      </c>
      <c r="F548" s="100">
        <f t="shared" si="46"/>
        <v>-15795000</v>
      </c>
      <c r="G548" s="100">
        <f t="shared" si="46"/>
        <v>31590000</v>
      </c>
      <c r="H548" s="101" t="e">
        <f t="shared" si="45"/>
        <v>#VALUE!</v>
      </c>
      <c r="I548" s="101">
        <f t="shared" si="47"/>
        <v>-47385000</v>
      </c>
      <c r="J548" s="101">
        <f t="shared" si="45"/>
        <v>-300</v>
      </c>
    </row>
    <row r="549" spans="1:10" ht="20.100000000000001" hidden="1" customHeight="1">
      <c r="A549" s="97"/>
      <c r="B549" s="102" t="s">
        <v>1424</v>
      </c>
      <c r="C549" s="103" t="s">
        <v>283</v>
      </c>
      <c r="D549" s="104">
        <v>15000000</v>
      </c>
      <c r="E549" s="104">
        <v>15000000</v>
      </c>
      <c r="F549" s="100">
        <f t="shared" si="46"/>
        <v>0</v>
      </c>
      <c r="G549" s="100">
        <f t="shared" si="46"/>
        <v>15000000</v>
      </c>
      <c r="H549" s="101" t="e">
        <f t="shared" si="45"/>
        <v>#VALUE!</v>
      </c>
      <c r="I549" s="101">
        <f t="shared" si="47"/>
        <v>-15000000</v>
      </c>
      <c r="J549" s="101">
        <f t="shared" si="45"/>
        <v>-100</v>
      </c>
    </row>
    <row r="550" spans="1:10" ht="20.100000000000001" hidden="1" customHeight="1">
      <c r="A550" s="97"/>
      <c r="B550" s="102" t="s">
        <v>1425</v>
      </c>
      <c r="C550" s="103" t="s">
        <v>384</v>
      </c>
      <c r="D550" s="104">
        <v>795000</v>
      </c>
      <c r="E550" s="104">
        <v>795000</v>
      </c>
      <c r="F550" s="100">
        <f t="shared" si="46"/>
        <v>0</v>
      </c>
      <c r="G550" s="100">
        <f t="shared" si="46"/>
        <v>795000</v>
      </c>
      <c r="H550" s="101" t="e">
        <f t="shared" si="45"/>
        <v>#VALUE!</v>
      </c>
      <c r="I550" s="101">
        <f t="shared" si="47"/>
        <v>-795000</v>
      </c>
      <c r="J550" s="101">
        <f t="shared" si="45"/>
        <v>-100</v>
      </c>
    </row>
    <row r="551" spans="1:10" ht="20.100000000000001" hidden="1" customHeight="1">
      <c r="A551" s="97"/>
      <c r="B551" s="102" t="s">
        <v>1426</v>
      </c>
      <c r="C551" s="103" t="s">
        <v>143</v>
      </c>
      <c r="D551" s="104"/>
      <c r="E551" s="104">
        <v>294605000</v>
      </c>
      <c r="F551" s="100">
        <f t="shared" si="46"/>
        <v>-294605000</v>
      </c>
      <c r="G551" s="100">
        <f t="shared" si="46"/>
        <v>589210000</v>
      </c>
      <c r="H551" s="101" t="e">
        <f t="shared" si="45"/>
        <v>#VALUE!</v>
      </c>
      <c r="I551" s="101">
        <f t="shared" si="47"/>
        <v>-883815000</v>
      </c>
      <c r="J551" s="101">
        <f t="shared" si="45"/>
        <v>-300</v>
      </c>
    </row>
    <row r="552" spans="1:10" ht="20.100000000000001" hidden="1" customHeight="1">
      <c r="A552" s="97"/>
      <c r="B552" s="102" t="s">
        <v>1427</v>
      </c>
      <c r="C552" s="103" t="s">
        <v>145</v>
      </c>
      <c r="D552" s="104"/>
      <c r="E552" s="104">
        <v>5597000</v>
      </c>
      <c r="F552" s="100">
        <f t="shared" si="46"/>
        <v>-5597000</v>
      </c>
      <c r="G552" s="100">
        <f t="shared" si="46"/>
        <v>11194000</v>
      </c>
      <c r="H552" s="101" t="e">
        <f t="shared" si="45"/>
        <v>#VALUE!</v>
      </c>
      <c r="I552" s="101">
        <f t="shared" si="47"/>
        <v>-16791000</v>
      </c>
      <c r="J552" s="101">
        <f t="shared" si="45"/>
        <v>-300</v>
      </c>
    </row>
    <row r="553" spans="1:10" ht="20.100000000000001" hidden="1" customHeight="1">
      <c r="A553" s="97"/>
      <c r="B553" s="102" t="s">
        <v>1428</v>
      </c>
      <c r="C553" s="103" t="s">
        <v>147</v>
      </c>
      <c r="D553" s="104">
        <v>5597000</v>
      </c>
      <c r="E553" s="104">
        <v>5597000</v>
      </c>
      <c r="F553" s="100">
        <f t="shared" si="46"/>
        <v>0</v>
      </c>
      <c r="G553" s="100">
        <f t="shared" si="46"/>
        <v>5597000</v>
      </c>
      <c r="H553" s="101" t="e">
        <f t="shared" si="45"/>
        <v>#VALUE!</v>
      </c>
      <c r="I553" s="101">
        <f t="shared" si="47"/>
        <v>-5597000</v>
      </c>
      <c r="J553" s="101">
        <f t="shared" si="45"/>
        <v>-100</v>
      </c>
    </row>
    <row r="554" spans="1:10" ht="20.100000000000001" hidden="1" customHeight="1">
      <c r="A554" s="97"/>
      <c r="B554" s="102" t="s">
        <v>1429</v>
      </c>
      <c r="C554" s="103" t="s">
        <v>389</v>
      </c>
      <c r="D554" s="104"/>
      <c r="E554" s="104">
        <v>16840000</v>
      </c>
      <c r="F554" s="100">
        <f t="shared" si="46"/>
        <v>-16840000</v>
      </c>
      <c r="G554" s="100">
        <f t="shared" si="46"/>
        <v>33680000</v>
      </c>
      <c r="H554" s="101" t="e">
        <f t="shared" si="45"/>
        <v>#VALUE!</v>
      </c>
      <c r="I554" s="101">
        <f t="shared" si="47"/>
        <v>-50520000</v>
      </c>
      <c r="J554" s="101">
        <f t="shared" si="45"/>
        <v>-300</v>
      </c>
    </row>
    <row r="555" spans="1:10" ht="20.100000000000001" hidden="1" customHeight="1">
      <c r="A555" s="97"/>
      <c r="B555" s="102" t="s">
        <v>1430</v>
      </c>
      <c r="C555" s="103" t="s">
        <v>610</v>
      </c>
      <c r="D555" s="104">
        <v>840000</v>
      </c>
      <c r="E555" s="104">
        <v>840000</v>
      </c>
      <c r="F555" s="100">
        <f t="shared" si="46"/>
        <v>0</v>
      </c>
      <c r="G555" s="100">
        <f t="shared" si="46"/>
        <v>840000</v>
      </c>
      <c r="H555" s="101" t="e">
        <f t="shared" si="45"/>
        <v>#VALUE!</v>
      </c>
      <c r="I555" s="101">
        <f t="shared" si="47"/>
        <v>-840000</v>
      </c>
      <c r="J555" s="101">
        <f t="shared" si="45"/>
        <v>-100</v>
      </c>
    </row>
    <row r="556" spans="1:10" ht="20.100000000000001" hidden="1" customHeight="1">
      <c r="A556" s="97"/>
      <c r="B556" s="102" t="s">
        <v>1431</v>
      </c>
      <c r="C556" s="103" t="s">
        <v>391</v>
      </c>
      <c r="D556" s="104">
        <v>16000000</v>
      </c>
      <c r="E556" s="104">
        <v>16000000</v>
      </c>
      <c r="F556" s="100">
        <f t="shared" si="46"/>
        <v>0</v>
      </c>
      <c r="G556" s="100">
        <f t="shared" si="46"/>
        <v>16000000</v>
      </c>
      <c r="H556" s="101" t="e">
        <f t="shared" si="45"/>
        <v>#VALUE!</v>
      </c>
      <c r="I556" s="101">
        <f t="shared" si="47"/>
        <v>-16000000</v>
      </c>
      <c r="J556" s="101">
        <f t="shared" si="45"/>
        <v>-100</v>
      </c>
    </row>
    <row r="557" spans="1:10" ht="20.100000000000001" hidden="1" customHeight="1">
      <c r="A557" s="97"/>
      <c r="B557" s="102" t="s">
        <v>1432</v>
      </c>
      <c r="C557" s="103" t="s">
        <v>163</v>
      </c>
      <c r="D557" s="104"/>
      <c r="E557" s="104">
        <v>26470000</v>
      </c>
      <c r="F557" s="100">
        <f t="shared" si="46"/>
        <v>-26470000</v>
      </c>
      <c r="G557" s="100">
        <f t="shared" si="46"/>
        <v>52940000</v>
      </c>
      <c r="H557" s="101" t="e">
        <f t="shared" si="45"/>
        <v>#VALUE!</v>
      </c>
      <c r="I557" s="101">
        <f t="shared" si="47"/>
        <v>-79410000</v>
      </c>
      <c r="J557" s="101">
        <f t="shared" si="45"/>
        <v>-300</v>
      </c>
    </row>
    <row r="558" spans="1:10" ht="20.100000000000001" hidden="1" customHeight="1">
      <c r="A558" s="97"/>
      <c r="B558" s="102" t="s">
        <v>1433</v>
      </c>
      <c r="C558" s="103" t="s">
        <v>349</v>
      </c>
      <c r="D558" s="104">
        <v>2220000</v>
      </c>
      <c r="E558" s="104">
        <v>2220000</v>
      </c>
      <c r="F558" s="100">
        <f t="shared" si="46"/>
        <v>0</v>
      </c>
      <c r="G558" s="100">
        <f t="shared" si="46"/>
        <v>2220000</v>
      </c>
      <c r="H558" s="101" t="e">
        <f t="shared" si="45"/>
        <v>#VALUE!</v>
      </c>
      <c r="I558" s="101">
        <f t="shared" si="47"/>
        <v>-2220000</v>
      </c>
      <c r="J558" s="101">
        <f t="shared" si="45"/>
        <v>-100</v>
      </c>
    </row>
    <row r="559" spans="1:10" ht="20.100000000000001" hidden="1" customHeight="1">
      <c r="A559" s="97"/>
      <c r="B559" s="102" t="s">
        <v>1434</v>
      </c>
      <c r="C559" s="103" t="s">
        <v>352</v>
      </c>
      <c r="D559" s="104">
        <v>24250000</v>
      </c>
      <c r="E559" s="104">
        <v>24250000</v>
      </c>
      <c r="F559" s="100">
        <f t="shared" si="46"/>
        <v>0</v>
      </c>
      <c r="G559" s="100">
        <f t="shared" si="46"/>
        <v>24250000</v>
      </c>
      <c r="H559" s="101" t="e">
        <f t="shared" si="45"/>
        <v>#VALUE!</v>
      </c>
      <c r="I559" s="101">
        <f t="shared" si="47"/>
        <v>-24250000</v>
      </c>
      <c r="J559" s="101">
        <f t="shared" si="45"/>
        <v>-100</v>
      </c>
    </row>
    <row r="560" spans="1:10" ht="20.100000000000001" hidden="1" customHeight="1">
      <c r="A560" s="97"/>
      <c r="B560" s="102" t="s">
        <v>1435</v>
      </c>
      <c r="C560" s="103" t="s">
        <v>151</v>
      </c>
      <c r="D560" s="104"/>
      <c r="E560" s="104">
        <v>939500</v>
      </c>
      <c r="F560" s="100">
        <f t="shared" si="46"/>
        <v>-939500</v>
      </c>
      <c r="G560" s="100">
        <f t="shared" si="46"/>
        <v>1879000</v>
      </c>
      <c r="H560" s="101" t="e">
        <f t="shared" si="45"/>
        <v>#VALUE!</v>
      </c>
      <c r="I560" s="101">
        <f t="shared" si="47"/>
        <v>-2818500</v>
      </c>
      <c r="J560" s="101">
        <f t="shared" si="45"/>
        <v>-300</v>
      </c>
    </row>
    <row r="561" spans="1:10" ht="20.100000000000001" hidden="1" customHeight="1">
      <c r="A561" s="97"/>
      <c r="B561" s="102" t="s">
        <v>1436</v>
      </c>
      <c r="C561" s="103" t="s">
        <v>155</v>
      </c>
      <c r="D561" s="104">
        <v>939500</v>
      </c>
      <c r="E561" s="104">
        <v>939500</v>
      </c>
      <c r="F561" s="100">
        <f t="shared" si="46"/>
        <v>0</v>
      </c>
      <c r="G561" s="100">
        <f t="shared" si="46"/>
        <v>939500</v>
      </c>
      <c r="H561" s="101" t="e">
        <f t="shared" si="45"/>
        <v>#VALUE!</v>
      </c>
      <c r="I561" s="101">
        <f t="shared" si="47"/>
        <v>-939500</v>
      </c>
      <c r="J561" s="101">
        <f t="shared" si="45"/>
        <v>-100</v>
      </c>
    </row>
    <row r="562" spans="1:10" ht="20.100000000000001" hidden="1" customHeight="1">
      <c r="A562" s="97"/>
      <c r="B562" s="102" t="s">
        <v>1437</v>
      </c>
      <c r="C562" s="103" t="s">
        <v>712</v>
      </c>
      <c r="D562" s="104"/>
      <c r="E562" s="104">
        <v>41000000</v>
      </c>
      <c r="F562" s="100">
        <f t="shared" si="46"/>
        <v>-41000000</v>
      </c>
      <c r="G562" s="100">
        <f t="shared" si="46"/>
        <v>82000000</v>
      </c>
      <c r="H562" s="101" t="e">
        <f t="shared" si="45"/>
        <v>#VALUE!</v>
      </c>
      <c r="I562" s="101">
        <f t="shared" si="47"/>
        <v>-123000000</v>
      </c>
      <c r="J562" s="101">
        <f t="shared" si="45"/>
        <v>-300</v>
      </c>
    </row>
    <row r="563" spans="1:10" ht="20.100000000000001" hidden="1" customHeight="1">
      <c r="A563" s="97"/>
      <c r="B563" s="102" t="s">
        <v>1438</v>
      </c>
      <c r="C563" s="103" t="s">
        <v>714</v>
      </c>
      <c r="D563" s="104">
        <v>41000000</v>
      </c>
      <c r="E563" s="104">
        <v>41000000</v>
      </c>
      <c r="F563" s="100">
        <f t="shared" si="46"/>
        <v>0</v>
      </c>
      <c r="G563" s="100">
        <f t="shared" si="46"/>
        <v>41000000</v>
      </c>
      <c r="H563" s="101" t="e">
        <f t="shared" si="45"/>
        <v>#VALUE!</v>
      </c>
      <c r="I563" s="101">
        <f t="shared" si="47"/>
        <v>-41000000</v>
      </c>
      <c r="J563" s="101">
        <f t="shared" si="45"/>
        <v>-100</v>
      </c>
    </row>
    <row r="564" spans="1:10" ht="20.100000000000001" hidden="1" customHeight="1">
      <c r="A564" s="97"/>
      <c r="B564" s="102" t="s">
        <v>1439</v>
      </c>
      <c r="C564" s="103" t="s">
        <v>328</v>
      </c>
      <c r="D564" s="104"/>
      <c r="E564" s="104">
        <v>15270000</v>
      </c>
      <c r="F564" s="100">
        <f t="shared" si="46"/>
        <v>-15270000</v>
      </c>
      <c r="G564" s="100">
        <f t="shared" si="46"/>
        <v>30540000</v>
      </c>
      <c r="H564" s="101" t="e">
        <f t="shared" si="45"/>
        <v>#VALUE!</v>
      </c>
      <c r="I564" s="101">
        <f t="shared" si="47"/>
        <v>-45810000</v>
      </c>
      <c r="J564" s="101">
        <f t="shared" si="45"/>
        <v>-300</v>
      </c>
    </row>
    <row r="565" spans="1:10" ht="20.100000000000001" hidden="1" customHeight="1">
      <c r="A565" s="97"/>
      <c r="B565" s="102" t="s">
        <v>1440</v>
      </c>
      <c r="C565" s="103" t="s">
        <v>330</v>
      </c>
      <c r="D565" s="104">
        <v>15270000</v>
      </c>
      <c r="E565" s="104">
        <v>15270000</v>
      </c>
      <c r="F565" s="100">
        <f t="shared" si="46"/>
        <v>0</v>
      </c>
      <c r="G565" s="100">
        <f t="shared" si="46"/>
        <v>15270000</v>
      </c>
      <c r="H565" s="101" t="e">
        <f t="shared" si="45"/>
        <v>#VALUE!</v>
      </c>
      <c r="I565" s="101">
        <f t="shared" si="47"/>
        <v>-15270000</v>
      </c>
      <c r="J565" s="101">
        <f t="shared" si="45"/>
        <v>-100</v>
      </c>
    </row>
    <row r="566" spans="1:10" ht="20.100000000000001" hidden="1" customHeight="1">
      <c r="A566" s="97"/>
      <c r="B566" s="102" t="s">
        <v>1441</v>
      </c>
      <c r="C566" s="103" t="s">
        <v>193</v>
      </c>
      <c r="D566" s="104"/>
      <c r="E566" s="104">
        <v>26203500</v>
      </c>
      <c r="F566" s="100">
        <f t="shared" si="46"/>
        <v>-26203500</v>
      </c>
      <c r="G566" s="100">
        <f t="shared" si="46"/>
        <v>52407000</v>
      </c>
      <c r="H566" s="101" t="e">
        <f t="shared" si="45"/>
        <v>#VALUE!</v>
      </c>
      <c r="I566" s="101">
        <f t="shared" si="47"/>
        <v>-78610500</v>
      </c>
      <c r="J566" s="101">
        <f t="shared" si="45"/>
        <v>-300</v>
      </c>
    </row>
    <row r="567" spans="1:10" ht="20.100000000000001" hidden="1" customHeight="1">
      <c r="A567" s="97"/>
      <c r="B567" s="102" t="s">
        <v>1442</v>
      </c>
      <c r="C567" s="103" t="s">
        <v>195</v>
      </c>
      <c r="D567" s="104">
        <v>26203500</v>
      </c>
      <c r="E567" s="104">
        <v>26203500</v>
      </c>
      <c r="F567" s="100">
        <f t="shared" si="46"/>
        <v>0</v>
      </c>
      <c r="G567" s="100">
        <f t="shared" si="46"/>
        <v>26203500</v>
      </c>
      <c r="H567" s="101" t="e">
        <f t="shared" si="45"/>
        <v>#VALUE!</v>
      </c>
      <c r="I567" s="101">
        <f t="shared" si="47"/>
        <v>-26203500</v>
      </c>
      <c r="J567" s="101">
        <f t="shared" si="45"/>
        <v>-100</v>
      </c>
    </row>
    <row r="568" spans="1:10" ht="20.100000000000001" hidden="1" customHeight="1">
      <c r="A568" s="97"/>
      <c r="B568" s="102" t="s">
        <v>1443</v>
      </c>
      <c r="C568" s="103" t="s">
        <v>157</v>
      </c>
      <c r="D568" s="104"/>
      <c r="E568" s="104">
        <v>134385000</v>
      </c>
      <c r="F568" s="100">
        <f t="shared" si="46"/>
        <v>-134385000</v>
      </c>
      <c r="G568" s="100">
        <f t="shared" si="46"/>
        <v>268770000</v>
      </c>
      <c r="H568" s="101" t="e">
        <f t="shared" si="45"/>
        <v>#VALUE!</v>
      </c>
      <c r="I568" s="101">
        <f t="shared" si="47"/>
        <v>-403155000</v>
      </c>
      <c r="J568" s="101">
        <f t="shared" si="45"/>
        <v>-300</v>
      </c>
    </row>
    <row r="569" spans="1:10" ht="20.100000000000001" hidden="1" customHeight="1">
      <c r="A569" s="97"/>
      <c r="B569" s="102" t="s">
        <v>1444</v>
      </c>
      <c r="C569" s="103" t="s">
        <v>159</v>
      </c>
      <c r="D569" s="104">
        <v>14760000</v>
      </c>
      <c r="E569" s="104">
        <v>14760000</v>
      </c>
      <c r="F569" s="100">
        <f t="shared" si="46"/>
        <v>0</v>
      </c>
      <c r="G569" s="100">
        <f t="shared" si="46"/>
        <v>14760000</v>
      </c>
      <c r="H569" s="101" t="e">
        <f t="shared" si="45"/>
        <v>#VALUE!</v>
      </c>
      <c r="I569" s="101">
        <f t="shared" si="47"/>
        <v>-14760000</v>
      </c>
      <c r="J569" s="101">
        <f t="shared" si="45"/>
        <v>-100</v>
      </c>
    </row>
    <row r="570" spans="1:10" ht="20.100000000000001" hidden="1" customHeight="1">
      <c r="A570" s="97"/>
      <c r="B570" s="102" t="s">
        <v>1445</v>
      </c>
      <c r="C570" s="103" t="s">
        <v>207</v>
      </c>
      <c r="D570" s="104">
        <v>119625000</v>
      </c>
      <c r="E570" s="104">
        <v>119625000</v>
      </c>
      <c r="F570" s="100">
        <f t="shared" si="46"/>
        <v>0</v>
      </c>
      <c r="G570" s="100">
        <f t="shared" si="46"/>
        <v>119625000</v>
      </c>
      <c r="H570" s="101" t="e">
        <f t="shared" si="45"/>
        <v>#VALUE!</v>
      </c>
      <c r="I570" s="101">
        <f t="shared" si="47"/>
        <v>-119625000</v>
      </c>
      <c r="J570" s="101">
        <f t="shared" si="45"/>
        <v>-100</v>
      </c>
    </row>
    <row r="571" spans="1:10" ht="20.100000000000001" hidden="1" customHeight="1">
      <c r="A571" s="97"/>
      <c r="B571" s="102" t="s">
        <v>1446</v>
      </c>
      <c r="C571" s="103" t="s">
        <v>402</v>
      </c>
      <c r="D571" s="104"/>
      <c r="E571" s="104">
        <v>27900000</v>
      </c>
      <c r="F571" s="100">
        <f t="shared" si="46"/>
        <v>-27900000</v>
      </c>
      <c r="G571" s="100">
        <f t="shared" si="46"/>
        <v>55800000</v>
      </c>
      <c r="H571" s="101" t="e">
        <f t="shared" si="45"/>
        <v>#VALUE!</v>
      </c>
      <c r="I571" s="101">
        <f t="shared" si="47"/>
        <v>-83700000</v>
      </c>
      <c r="J571" s="101">
        <f t="shared" si="45"/>
        <v>-300</v>
      </c>
    </row>
    <row r="572" spans="1:10" ht="20.100000000000001" hidden="1" customHeight="1">
      <c r="A572" s="97"/>
      <c r="B572" s="102" t="s">
        <v>1447</v>
      </c>
      <c r="C572" s="103" t="s">
        <v>404</v>
      </c>
      <c r="D572" s="104">
        <v>27900000</v>
      </c>
      <c r="E572" s="104">
        <v>27900000</v>
      </c>
      <c r="F572" s="100">
        <f t="shared" si="46"/>
        <v>0</v>
      </c>
      <c r="G572" s="100">
        <f t="shared" si="46"/>
        <v>27900000</v>
      </c>
      <c r="H572" s="101" t="e">
        <f t="shared" si="45"/>
        <v>#VALUE!</v>
      </c>
      <c r="I572" s="101">
        <f t="shared" si="47"/>
        <v>-27900000</v>
      </c>
      <c r="J572" s="101">
        <f t="shared" si="45"/>
        <v>-100</v>
      </c>
    </row>
    <row r="573" spans="1:10" ht="20.100000000000001" customHeight="1">
      <c r="A573" s="111">
        <v>33</v>
      </c>
      <c r="B573" s="193" t="s">
        <v>1448</v>
      </c>
      <c r="C573" s="195" t="s">
        <v>36</v>
      </c>
      <c r="D573" s="197">
        <f>SUM(D575:D603)</f>
        <v>286306000</v>
      </c>
      <c r="E573" s="197">
        <v>342500000</v>
      </c>
      <c r="F573" s="197">
        <f>D573-E573</f>
        <v>-56194000</v>
      </c>
      <c r="G573" s="216">
        <v>162472650</v>
      </c>
      <c r="H573" s="214">
        <f>G573/E573*100</f>
        <v>47.437270072992696</v>
      </c>
      <c r="I573" s="214">
        <f>E573-G573</f>
        <v>180027350</v>
      </c>
      <c r="J573" s="214">
        <f>I573/E573*100</f>
        <v>52.562729927007304</v>
      </c>
    </row>
    <row r="574" spans="1:10" ht="2.25" customHeight="1">
      <c r="A574" s="112"/>
      <c r="B574" s="194"/>
      <c r="C574" s="196"/>
      <c r="D574" s="198"/>
      <c r="E574" s="198"/>
      <c r="F574" s="198"/>
      <c r="G574" s="217"/>
      <c r="H574" s="215"/>
      <c r="I574" s="215"/>
      <c r="J574" s="215"/>
    </row>
    <row r="575" spans="1:10" ht="20.100000000000001" hidden="1" customHeight="1">
      <c r="A575" s="97"/>
      <c r="B575" s="102" t="s">
        <v>1449</v>
      </c>
      <c r="C575" s="103" t="s">
        <v>10</v>
      </c>
      <c r="D575" s="104"/>
      <c r="E575" s="104">
        <v>10500000</v>
      </c>
      <c r="F575" s="100">
        <f t="shared" si="46"/>
        <v>-10500000</v>
      </c>
      <c r="G575" s="100">
        <f t="shared" si="46"/>
        <v>21000000</v>
      </c>
      <c r="H575" s="101" t="e">
        <f t="shared" si="45"/>
        <v>#VALUE!</v>
      </c>
      <c r="I575" s="101">
        <f t="shared" ref="I575:I603" si="48">F575-G575</f>
        <v>-31500000</v>
      </c>
      <c r="J575" s="101">
        <f t="shared" si="45"/>
        <v>-300</v>
      </c>
    </row>
    <row r="576" spans="1:10" ht="20.100000000000001" hidden="1" customHeight="1">
      <c r="A576" s="97"/>
      <c r="B576" s="102" t="s">
        <v>1450</v>
      </c>
      <c r="C576" s="103" t="s">
        <v>177</v>
      </c>
      <c r="D576" s="104"/>
      <c r="E576" s="104">
        <v>10500000</v>
      </c>
      <c r="F576" s="100">
        <f t="shared" si="46"/>
        <v>-10500000</v>
      </c>
      <c r="G576" s="100">
        <f t="shared" si="46"/>
        <v>21000000</v>
      </c>
      <c r="H576" s="101" t="e">
        <f t="shared" si="45"/>
        <v>#VALUE!</v>
      </c>
      <c r="I576" s="101">
        <f t="shared" si="48"/>
        <v>-31500000</v>
      </c>
      <c r="J576" s="101">
        <f t="shared" si="45"/>
        <v>-300</v>
      </c>
    </row>
    <row r="577" spans="1:10" ht="20.100000000000001" hidden="1" customHeight="1">
      <c r="A577" s="97"/>
      <c r="B577" s="102" t="s">
        <v>1451</v>
      </c>
      <c r="C577" s="103" t="s">
        <v>283</v>
      </c>
      <c r="D577" s="104">
        <v>9200000</v>
      </c>
      <c r="E577" s="104">
        <v>9200000</v>
      </c>
      <c r="F577" s="100">
        <f t="shared" si="46"/>
        <v>0</v>
      </c>
      <c r="G577" s="100">
        <f t="shared" si="46"/>
        <v>9200000</v>
      </c>
      <c r="H577" s="101" t="e">
        <f t="shared" si="45"/>
        <v>#VALUE!</v>
      </c>
      <c r="I577" s="101">
        <f t="shared" si="48"/>
        <v>-9200000</v>
      </c>
      <c r="J577" s="101">
        <f t="shared" si="45"/>
        <v>-100</v>
      </c>
    </row>
    <row r="578" spans="1:10" ht="20.100000000000001" hidden="1" customHeight="1">
      <c r="A578" s="97"/>
      <c r="B578" s="102" t="s">
        <v>1452</v>
      </c>
      <c r="C578" s="103" t="s">
        <v>384</v>
      </c>
      <c r="D578" s="104">
        <v>1300000</v>
      </c>
      <c r="E578" s="104">
        <v>1300000</v>
      </c>
      <c r="F578" s="100">
        <f t="shared" si="46"/>
        <v>0</v>
      </c>
      <c r="G578" s="100">
        <f t="shared" si="46"/>
        <v>1300000</v>
      </c>
      <c r="H578" s="101" t="e">
        <f t="shared" si="45"/>
        <v>#VALUE!</v>
      </c>
      <c r="I578" s="101">
        <f t="shared" si="48"/>
        <v>-1300000</v>
      </c>
      <c r="J578" s="101">
        <f t="shared" si="45"/>
        <v>-100</v>
      </c>
    </row>
    <row r="579" spans="1:10" ht="20.100000000000001" hidden="1" customHeight="1">
      <c r="A579" s="97"/>
      <c r="B579" s="102" t="s">
        <v>1453</v>
      </c>
      <c r="C579" s="103" t="s">
        <v>143</v>
      </c>
      <c r="D579" s="104"/>
      <c r="E579" s="104">
        <v>209306000</v>
      </c>
      <c r="F579" s="100">
        <f t="shared" si="46"/>
        <v>-209306000</v>
      </c>
      <c r="G579" s="100">
        <f t="shared" si="46"/>
        <v>418612000</v>
      </c>
      <c r="H579" s="101" t="e">
        <f t="shared" si="45"/>
        <v>#VALUE!</v>
      </c>
      <c r="I579" s="101">
        <f t="shared" si="48"/>
        <v>-627918000</v>
      </c>
      <c r="J579" s="101">
        <f t="shared" si="45"/>
        <v>-300</v>
      </c>
    </row>
    <row r="580" spans="1:10" ht="20.100000000000001" hidden="1" customHeight="1">
      <c r="A580" s="97"/>
      <c r="B580" s="102" t="s">
        <v>1454</v>
      </c>
      <c r="C580" s="103" t="s">
        <v>145</v>
      </c>
      <c r="D580" s="104"/>
      <c r="E580" s="104">
        <v>1291000</v>
      </c>
      <c r="F580" s="100">
        <f t="shared" si="46"/>
        <v>-1291000</v>
      </c>
      <c r="G580" s="100">
        <f t="shared" si="46"/>
        <v>2582000</v>
      </c>
      <c r="H580" s="101" t="e">
        <f t="shared" si="45"/>
        <v>#VALUE!</v>
      </c>
      <c r="I580" s="101">
        <f t="shared" si="48"/>
        <v>-3873000</v>
      </c>
      <c r="J580" s="101">
        <f t="shared" si="45"/>
        <v>-300</v>
      </c>
    </row>
    <row r="581" spans="1:10" ht="20.100000000000001" hidden="1" customHeight="1">
      <c r="A581" s="97"/>
      <c r="B581" s="102" t="s">
        <v>1455</v>
      </c>
      <c r="C581" s="103" t="s">
        <v>147</v>
      </c>
      <c r="D581" s="104">
        <v>1291000</v>
      </c>
      <c r="E581" s="104">
        <v>1291000</v>
      </c>
      <c r="F581" s="100">
        <f t="shared" si="46"/>
        <v>0</v>
      </c>
      <c r="G581" s="100">
        <f t="shared" si="46"/>
        <v>1291000</v>
      </c>
      <c r="H581" s="101" t="e">
        <f t="shared" si="45"/>
        <v>#VALUE!</v>
      </c>
      <c r="I581" s="101">
        <f t="shared" si="48"/>
        <v>-1291000</v>
      </c>
      <c r="J581" s="101">
        <f t="shared" si="45"/>
        <v>-100</v>
      </c>
    </row>
    <row r="582" spans="1:10" ht="20.100000000000001" hidden="1" customHeight="1">
      <c r="A582" s="97"/>
      <c r="B582" s="102" t="s">
        <v>1456</v>
      </c>
      <c r="C582" s="103" t="s">
        <v>389</v>
      </c>
      <c r="D582" s="104"/>
      <c r="E582" s="104">
        <v>7417500</v>
      </c>
      <c r="F582" s="100">
        <f t="shared" si="46"/>
        <v>-7417500</v>
      </c>
      <c r="G582" s="100">
        <f t="shared" si="46"/>
        <v>14835000</v>
      </c>
      <c r="H582" s="101" t="e">
        <f t="shared" si="45"/>
        <v>#VALUE!</v>
      </c>
      <c r="I582" s="101">
        <f t="shared" si="48"/>
        <v>-22252500</v>
      </c>
      <c r="J582" s="101">
        <f t="shared" si="45"/>
        <v>-300</v>
      </c>
    </row>
    <row r="583" spans="1:10" ht="20.100000000000001" hidden="1" customHeight="1">
      <c r="A583" s="97"/>
      <c r="B583" s="102" t="s">
        <v>1457</v>
      </c>
      <c r="C583" s="103" t="s">
        <v>391</v>
      </c>
      <c r="D583" s="104">
        <v>7417500</v>
      </c>
      <c r="E583" s="104">
        <v>7417500</v>
      </c>
      <c r="F583" s="100">
        <f t="shared" si="46"/>
        <v>0</v>
      </c>
      <c r="G583" s="100">
        <f t="shared" si="46"/>
        <v>7417500</v>
      </c>
      <c r="H583" s="101" t="e">
        <f t="shared" si="45"/>
        <v>#VALUE!</v>
      </c>
      <c r="I583" s="101">
        <f t="shared" si="48"/>
        <v>-7417500</v>
      </c>
      <c r="J583" s="101">
        <f t="shared" si="45"/>
        <v>-100</v>
      </c>
    </row>
    <row r="584" spans="1:10" ht="20.100000000000001" hidden="1" customHeight="1">
      <c r="A584" s="97"/>
      <c r="B584" s="102" t="s">
        <v>1458</v>
      </c>
      <c r="C584" s="103" t="s">
        <v>163</v>
      </c>
      <c r="D584" s="104"/>
      <c r="E584" s="104">
        <v>30960000</v>
      </c>
      <c r="F584" s="100">
        <f t="shared" si="46"/>
        <v>-30960000</v>
      </c>
      <c r="G584" s="100">
        <f t="shared" si="46"/>
        <v>61920000</v>
      </c>
      <c r="H584" s="101" t="e">
        <f t="shared" si="45"/>
        <v>#VALUE!</v>
      </c>
      <c r="I584" s="101">
        <f t="shared" si="48"/>
        <v>-92880000</v>
      </c>
      <c r="J584" s="101">
        <f t="shared" si="45"/>
        <v>-300</v>
      </c>
    </row>
    <row r="585" spans="1:10" ht="20.100000000000001" hidden="1" customHeight="1">
      <c r="A585" s="97"/>
      <c r="B585" s="102" t="s">
        <v>1459</v>
      </c>
      <c r="C585" s="103" t="s">
        <v>349</v>
      </c>
      <c r="D585" s="104">
        <v>960000</v>
      </c>
      <c r="E585" s="104">
        <v>960000</v>
      </c>
      <c r="F585" s="100">
        <f t="shared" si="46"/>
        <v>0</v>
      </c>
      <c r="G585" s="100">
        <f t="shared" si="46"/>
        <v>960000</v>
      </c>
      <c r="H585" s="101" t="e">
        <f t="shared" si="45"/>
        <v>#VALUE!</v>
      </c>
      <c r="I585" s="101">
        <f t="shared" si="48"/>
        <v>-960000</v>
      </c>
      <c r="J585" s="101">
        <f t="shared" si="45"/>
        <v>-100</v>
      </c>
    </row>
    <row r="586" spans="1:10" ht="20.100000000000001" hidden="1" customHeight="1">
      <c r="A586" s="97"/>
      <c r="B586" s="102" t="s">
        <v>1460</v>
      </c>
      <c r="C586" s="103" t="s">
        <v>615</v>
      </c>
      <c r="D586" s="104">
        <v>6000000</v>
      </c>
      <c r="E586" s="104">
        <v>6000000</v>
      </c>
      <c r="F586" s="100">
        <f t="shared" si="46"/>
        <v>0</v>
      </c>
      <c r="G586" s="100">
        <f t="shared" si="46"/>
        <v>6000000</v>
      </c>
      <c r="H586" s="101" t="e">
        <f t="shared" ref="H586:J649" si="49">G586/C586*100</f>
        <v>#VALUE!</v>
      </c>
      <c r="I586" s="101">
        <f t="shared" si="48"/>
        <v>-6000000</v>
      </c>
      <c r="J586" s="101">
        <f t="shared" si="49"/>
        <v>-100</v>
      </c>
    </row>
    <row r="587" spans="1:10" ht="20.100000000000001" hidden="1" customHeight="1">
      <c r="A587" s="97"/>
      <c r="B587" s="102" t="s">
        <v>1461</v>
      </c>
      <c r="C587" s="103" t="s">
        <v>352</v>
      </c>
      <c r="D587" s="104">
        <v>24000000</v>
      </c>
      <c r="E587" s="104">
        <v>24000000</v>
      </c>
      <c r="F587" s="100">
        <f t="shared" ref="F587:G650" si="50">D587-E587</f>
        <v>0</v>
      </c>
      <c r="G587" s="100">
        <f t="shared" si="50"/>
        <v>24000000</v>
      </c>
      <c r="H587" s="101" t="e">
        <f t="shared" si="49"/>
        <v>#VALUE!</v>
      </c>
      <c r="I587" s="101">
        <f t="shared" si="48"/>
        <v>-24000000</v>
      </c>
      <c r="J587" s="101">
        <f t="shared" si="49"/>
        <v>-100</v>
      </c>
    </row>
    <row r="588" spans="1:10" ht="20.100000000000001" hidden="1" customHeight="1">
      <c r="A588" s="97"/>
      <c r="B588" s="102" t="s">
        <v>1462</v>
      </c>
      <c r="C588" s="103" t="s">
        <v>151</v>
      </c>
      <c r="D588" s="104"/>
      <c r="E588" s="104">
        <v>4570000</v>
      </c>
      <c r="F588" s="100">
        <f t="shared" si="50"/>
        <v>-4570000</v>
      </c>
      <c r="G588" s="100">
        <f t="shared" si="50"/>
        <v>9140000</v>
      </c>
      <c r="H588" s="101" t="e">
        <f t="shared" si="49"/>
        <v>#VALUE!</v>
      </c>
      <c r="I588" s="101">
        <f t="shared" si="48"/>
        <v>-13710000</v>
      </c>
      <c r="J588" s="101">
        <f t="shared" si="49"/>
        <v>-300</v>
      </c>
    </row>
    <row r="589" spans="1:10" ht="20.100000000000001" hidden="1" customHeight="1">
      <c r="A589" s="97"/>
      <c r="B589" s="102" t="s">
        <v>1463</v>
      </c>
      <c r="C589" s="103" t="s">
        <v>153</v>
      </c>
      <c r="D589" s="104">
        <v>3500000</v>
      </c>
      <c r="E589" s="104">
        <v>3500000</v>
      </c>
      <c r="F589" s="100">
        <f t="shared" si="50"/>
        <v>0</v>
      </c>
      <c r="G589" s="100">
        <f t="shared" si="50"/>
        <v>3500000</v>
      </c>
      <c r="H589" s="101" t="e">
        <f t="shared" si="49"/>
        <v>#VALUE!</v>
      </c>
      <c r="I589" s="101">
        <f t="shared" si="48"/>
        <v>-3500000</v>
      </c>
      <c r="J589" s="101">
        <f t="shared" si="49"/>
        <v>-100</v>
      </c>
    </row>
    <row r="590" spans="1:10" ht="20.100000000000001" hidden="1" customHeight="1">
      <c r="A590" s="97"/>
      <c r="B590" s="102" t="s">
        <v>1464</v>
      </c>
      <c r="C590" s="103" t="s">
        <v>155</v>
      </c>
      <c r="D590" s="104">
        <v>920000</v>
      </c>
      <c r="E590" s="104">
        <v>920000</v>
      </c>
      <c r="F590" s="100">
        <f t="shared" si="50"/>
        <v>0</v>
      </c>
      <c r="G590" s="100">
        <f t="shared" si="50"/>
        <v>920000</v>
      </c>
      <c r="H590" s="101" t="e">
        <f t="shared" si="49"/>
        <v>#VALUE!</v>
      </c>
      <c r="I590" s="101">
        <f t="shared" si="48"/>
        <v>-920000</v>
      </c>
      <c r="J590" s="101">
        <f t="shared" si="49"/>
        <v>-100</v>
      </c>
    </row>
    <row r="591" spans="1:10" ht="20.100000000000001" hidden="1" customHeight="1">
      <c r="A591" s="97"/>
      <c r="B591" s="102" t="s">
        <v>1465</v>
      </c>
      <c r="C591" s="103" t="s">
        <v>309</v>
      </c>
      <c r="D591" s="104">
        <v>150000</v>
      </c>
      <c r="E591" s="104">
        <v>150000</v>
      </c>
      <c r="F591" s="100">
        <f t="shared" si="50"/>
        <v>0</v>
      </c>
      <c r="G591" s="100">
        <f t="shared" si="50"/>
        <v>150000</v>
      </c>
      <c r="H591" s="101" t="e">
        <f t="shared" si="49"/>
        <v>#VALUE!</v>
      </c>
      <c r="I591" s="101">
        <f t="shared" si="48"/>
        <v>-150000</v>
      </c>
      <c r="J591" s="101">
        <f t="shared" si="49"/>
        <v>-100</v>
      </c>
    </row>
    <row r="592" spans="1:10" ht="20.100000000000001" hidden="1" customHeight="1">
      <c r="A592" s="97"/>
      <c r="B592" s="102" t="s">
        <v>1466</v>
      </c>
      <c r="C592" s="103" t="s">
        <v>712</v>
      </c>
      <c r="D592" s="104"/>
      <c r="E592" s="104">
        <v>3750000</v>
      </c>
      <c r="F592" s="100">
        <f t="shared" si="50"/>
        <v>-3750000</v>
      </c>
      <c r="G592" s="100">
        <f t="shared" si="50"/>
        <v>7500000</v>
      </c>
      <c r="H592" s="101" t="e">
        <f t="shared" si="49"/>
        <v>#VALUE!</v>
      </c>
      <c r="I592" s="101">
        <f t="shared" si="48"/>
        <v>-11250000</v>
      </c>
      <c r="J592" s="101">
        <f t="shared" si="49"/>
        <v>-300</v>
      </c>
    </row>
    <row r="593" spans="1:10" ht="20.100000000000001" hidden="1" customHeight="1">
      <c r="A593" s="97"/>
      <c r="B593" s="102" t="s">
        <v>1467</v>
      </c>
      <c r="C593" s="103" t="s">
        <v>714</v>
      </c>
      <c r="D593" s="104">
        <v>3750000</v>
      </c>
      <c r="E593" s="104">
        <v>3750000</v>
      </c>
      <c r="F593" s="100">
        <f t="shared" si="50"/>
        <v>0</v>
      </c>
      <c r="G593" s="100">
        <f t="shared" si="50"/>
        <v>3750000</v>
      </c>
      <c r="H593" s="101" t="e">
        <f t="shared" si="49"/>
        <v>#VALUE!</v>
      </c>
      <c r="I593" s="101">
        <f t="shared" si="48"/>
        <v>-3750000</v>
      </c>
      <c r="J593" s="101">
        <f t="shared" si="49"/>
        <v>-100</v>
      </c>
    </row>
    <row r="594" spans="1:10" ht="20.100000000000001" hidden="1" customHeight="1">
      <c r="A594" s="97"/>
      <c r="B594" s="102" t="s">
        <v>1468</v>
      </c>
      <c r="C594" s="103" t="s">
        <v>193</v>
      </c>
      <c r="D594" s="104"/>
      <c r="E594" s="104">
        <v>36247500</v>
      </c>
      <c r="F594" s="100">
        <f t="shared" si="50"/>
        <v>-36247500</v>
      </c>
      <c r="G594" s="100">
        <f t="shared" si="50"/>
        <v>72495000</v>
      </c>
      <c r="H594" s="101" t="e">
        <f t="shared" si="49"/>
        <v>#VALUE!</v>
      </c>
      <c r="I594" s="101">
        <f t="shared" si="48"/>
        <v>-108742500</v>
      </c>
      <c r="J594" s="101">
        <f t="shared" si="49"/>
        <v>-300</v>
      </c>
    </row>
    <row r="595" spans="1:10" ht="20.100000000000001" hidden="1" customHeight="1">
      <c r="A595" s="97"/>
      <c r="B595" s="102" t="s">
        <v>1469</v>
      </c>
      <c r="C595" s="103" t="s">
        <v>195</v>
      </c>
      <c r="D595" s="104">
        <v>36247500</v>
      </c>
      <c r="E595" s="104">
        <v>36247500</v>
      </c>
      <c r="F595" s="100">
        <f t="shared" si="50"/>
        <v>0</v>
      </c>
      <c r="G595" s="100">
        <f t="shared" si="50"/>
        <v>36247500</v>
      </c>
      <c r="H595" s="101" t="e">
        <f t="shared" si="49"/>
        <v>#VALUE!</v>
      </c>
      <c r="I595" s="101">
        <f t="shared" si="48"/>
        <v>-36247500</v>
      </c>
      <c r="J595" s="101">
        <f t="shared" si="49"/>
        <v>-100</v>
      </c>
    </row>
    <row r="596" spans="1:10" ht="20.100000000000001" hidden="1" customHeight="1">
      <c r="A596" s="97"/>
      <c r="B596" s="102" t="s">
        <v>1470</v>
      </c>
      <c r="C596" s="103" t="s">
        <v>157</v>
      </c>
      <c r="D596" s="104"/>
      <c r="E596" s="104">
        <v>26370000</v>
      </c>
      <c r="F596" s="100">
        <f t="shared" si="50"/>
        <v>-26370000</v>
      </c>
      <c r="G596" s="100">
        <f t="shared" si="50"/>
        <v>52740000</v>
      </c>
      <c r="H596" s="101" t="e">
        <f t="shared" si="49"/>
        <v>#VALUE!</v>
      </c>
      <c r="I596" s="101">
        <f t="shared" si="48"/>
        <v>-79110000</v>
      </c>
      <c r="J596" s="101">
        <f t="shared" si="49"/>
        <v>-300</v>
      </c>
    </row>
    <row r="597" spans="1:10" ht="20.100000000000001" hidden="1" customHeight="1">
      <c r="A597" s="97"/>
      <c r="B597" s="102" t="s">
        <v>1471</v>
      </c>
      <c r="C597" s="103" t="s">
        <v>159</v>
      </c>
      <c r="D597" s="104">
        <v>17270000</v>
      </c>
      <c r="E597" s="104">
        <v>17270000</v>
      </c>
      <c r="F597" s="100">
        <f t="shared" si="50"/>
        <v>0</v>
      </c>
      <c r="G597" s="100">
        <f t="shared" si="50"/>
        <v>17270000</v>
      </c>
      <c r="H597" s="101" t="e">
        <f t="shared" si="49"/>
        <v>#VALUE!</v>
      </c>
      <c r="I597" s="101">
        <f t="shared" si="48"/>
        <v>-17270000</v>
      </c>
      <c r="J597" s="101">
        <f t="shared" si="49"/>
        <v>-100</v>
      </c>
    </row>
    <row r="598" spans="1:10" ht="20.100000000000001" hidden="1" customHeight="1">
      <c r="A598" s="97"/>
      <c r="B598" s="102" t="s">
        <v>1472</v>
      </c>
      <c r="C598" s="103" t="s">
        <v>207</v>
      </c>
      <c r="D598" s="104">
        <v>9100000</v>
      </c>
      <c r="E598" s="104">
        <v>9100000</v>
      </c>
      <c r="F598" s="100">
        <f t="shared" si="50"/>
        <v>0</v>
      </c>
      <c r="G598" s="100">
        <f t="shared" si="50"/>
        <v>9100000</v>
      </c>
      <c r="H598" s="101" t="e">
        <f t="shared" si="49"/>
        <v>#VALUE!</v>
      </c>
      <c r="I598" s="101">
        <f t="shared" si="48"/>
        <v>-9100000</v>
      </c>
      <c r="J598" s="101">
        <f t="shared" si="49"/>
        <v>-100</v>
      </c>
    </row>
    <row r="599" spans="1:10" ht="20.100000000000001" hidden="1" customHeight="1">
      <c r="A599" s="97"/>
      <c r="B599" s="102" t="s">
        <v>1473</v>
      </c>
      <c r="C599" s="103" t="s">
        <v>402</v>
      </c>
      <c r="D599" s="104"/>
      <c r="E599" s="104">
        <v>98700000</v>
      </c>
      <c r="F599" s="100">
        <f t="shared" si="50"/>
        <v>-98700000</v>
      </c>
      <c r="G599" s="100">
        <f t="shared" si="50"/>
        <v>197400000</v>
      </c>
      <c r="H599" s="101" t="e">
        <f t="shared" si="49"/>
        <v>#VALUE!</v>
      </c>
      <c r="I599" s="101">
        <f t="shared" si="48"/>
        <v>-296100000</v>
      </c>
      <c r="J599" s="101">
        <f t="shared" si="49"/>
        <v>-300</v>
      </c>
    </row>
    <row r="600" spans="1:10" ht="20.100000000000001" hidden="1" customHeight="1">
      <c r="A600" s="97"/>
      <c r="B600" s="102" t="s">
        <v>1474</v>
      </c>
      <c r="C600" s="103" t="s">
        <v>404</v>
      </c>
      <c r="D600" s="104">
        <v>98700000</v>
      </c>
      <c r="E600" s="104">
        <v>98700000</v>
      </c>
      <c r="F600" s="100">
        <f t="shared" si="50"/>
        <v>0</v>
      </c>
      <c r="G600" s="100">
        <f t="shared" si="50"/>
        <v>98700000</v>
      </c>
      <c r="H600" s="101" t="e">
        <f t="shared" si="49"/>
        <v>#VALUE!</v>
      </c>
      <c r="I600" s="101">
        <f t="shared" si="48"/>
        <v>-98700000</v>
      </c>
      <c r="J600" s="101">
        <f t="shared" si="49"/>
        <v>-100</v>
      </c>
    </row>
    <row r="601" spans="1:10" ht="20.100000000000001" hidden="1" customHeight="1">
      <c r="A601" s="97"/>
      <c r="B601" s="102" t="s">
        <v>1475</v>
      </c>
      <c r="C601" s="103" t="s">
        <v>270</v>
      </c>
      <c r="D601" s="104"/>
      <c r="E601" s="104">
        <v>66500000</v>
      </c>
      <c r="F601" s="100">
        <f t="shared" si="50"/>
        <v>-66500000</v>
      </c>
      <c r="G601" s="100">
        <f t="shared" si="50"/>
        <v>133000000</v>
      </c>
      <c r="H601" s="101" t="e">
        <f t="shared" si="49"/>
        <v>#VALUE!</v>
      </c>
      <c r="I601" s="101">
        <f t="shared" si="48"/>
        <v>-199500000</v>
      </c>
      <c r="J601" s="101">
        <f t="shared" si="49"/>
        <v>-300</v>
      </c>
    </row>
    <row r="602" spans="1:10" ht="20.100000000000001" hidden="1" customHeight="1">
      <c r="A602" s="97"/>
      <c r="B602" s="102" t="s">
        <v>1476</v>
      </c>
      <c r="C602" s="103" t="s">
        <v>1477</v>
      </c>
      <c r="D602" s="104"/>
      <c r="E602" s="104">
        <v>66500000</v>
      </c>
      <c r="F602" s="100">
        <f t="shared" si="50"/>
        <v>-66500000</v>
      </c>
      <c r="G602" s="100">
        <f t="shared" si="50"/>
        <v>133000000</v>
      </c>
      <c r="H602" s="101" t="e">
        <f t="shared" si="49"/>
        <v>#VALUE!</v>
      </c>
      <c r="I602" s="101">
        <f t="shared" si="48"/>
        <v>-199500000</v>
      </c>
      <c r="J602" s="101">
        <f t="shared" si="49"/>
        <v>-300</v>
      </c>
    </row>
    <row r="603" spans="1:10" ht="20.100000000000001" hidden="1" customHeight="1">
      <c r="A603" s="97"/>
      <c r="B603" s="102" t="s">
        <v>1478</v>
      </c>
      <c r="C603" s="103" t="s">
        <v>1479</v>
      </c>
      <c r="D603" s="104">
        <v>66500000</v>
      </c>
      <c r="E603" s="104">
        <v>66500000</v>
      </c>
      <c r="F603" s="100">
        <f t="shared" si="50"/>
        <v>0</v>
      </c>
      <c r="G603" s="100">
        <f t="shared" si="50"/>
        <v>66500000</v>
      </c>
      <c r="H603" s="101" t="e">
        <f t="shared" si="49"/>
        <v>#VALUE!</v>
      </c>
      <c r="I603" s="101">
        <f t="shared" si="48"/>
        <v>-66500000</v>
      </c>
      <c r="J603" s="101">
        <f t="shared" si="49"/>
        <v>-100</v>
      </c>
    </row>
    <row r="604" spans="1:10" ht="20.100000000000001" customHeight="1">
      <c r="A604" s="105" t="s">
        <v>748</v>
      </c>
      <c r="B604" s="106" t="s">
        <v>1480</v>
      </c>
      <c r="C604" s="107" t="s">
        <v>8</v>
      </c>
      <c r="D604" s="108">
        <f>D605+D618</f>
        <v>175160000</v>
      </c>
      <c r="E604" s="108">
        <f>E605+E618</f>
        <v>194000000</v>
      </c>
      <c r="F604" s="109">
        <f t="shared" si="50"/>
        <v>-18840000</v>
      </c>
      <c r="G604" s="109">
        <f>G605+G618</f>
        <v>86220125</v>
      </c>
      <c r="H604" s="110">
        <f>G604/E604*100</f>
        <v>44.443363402061856</v>
      </c>
      <c r="I604" s="109">
        <f>I605+I618</f>
        <v>107779875</v>
      </c>
      <c r="J604" s="110">
        <f t="shared" si="49"/>
        <v>55.556636597938144</v>
      </c>
    </row>
    <row r="605" spans="1:10" ht="20.100000000000001" customHeight="1">
      <c r="A605" s="111">
        <v>34</v>
      </c>
      <c r="B605" s="193" t="s">
        <v>1481</v>
      </c>
      <c r="C605" s="195" t="s">
        <v>319</v>
      </c>
      <c r="D605" s="197">
        <f>SUM(D607:D617)</f>
        <v>80748000</v>
      </c>
      <c r="E605" s="197">
        <f>'rekap REALISASI REKO '!AB155</f>
        <v>100000000</v>
      </c>
      <c r="F605" s="197">
        <f>D605-E605</f>
        <v>-19252000</v>
      </c>
      <c r="G605" s="216">
        <v>65785200</v>
      </c>
      <c r="H605" s="214">
        <f>G605/E605*100</f>
        <v>65.785200000000003</v>
      </c>
      <c r="I605" s="214">
        <f>E605-G605</f>
        <v>34214800</v>
      </c>
      <c r="J605" s="214">
        <f>I605/E605*100</f>
        <v>34.214800000000004</v>
      </c>
    </row>
    <row r="606" spans="1:10" ht="31.5" customHeight="1">
      <c r="A606" s="112"/>
      <c r="B606" s="194"/>
      <c r="C606" s="196"/>
      <c r="D606" s="198"/>
      <c r="E606" s="198"/>
      <c r="F606" s="198"/>
      <c r="G606" s="217"/>
      <c r="H606" s="215"/>
      <c r="I606" s="215"/>
      <c r="J606" s="215"/>
    </row>
    <row r="607" spans="1:10" ht="20.100000000000001" hidden="1" customHeight="1">
      <c r="A607" s="97"/>
      <c r="B607" s="102" t="s">
        <v>1482</v>
      </c>
      <c r="C607" s="103" t="s">
        <v>143</v>
      </c>
      <c r="D607" s="104"/>
      <c r="E607" s="104">
        <v>80748000</v>
      </c>
      <c r="F607" s="100">
        <f t="shared" si="50"/>
        <v>-80748000</v>
      </c>
      <c r="G607" s="100">
        <f t="shared" si="50"/>
        <v>161496000</v>
      </c>
      <c r="H607" s="101" t="e">
        <f t="shared" si="49"/>
        <v>#VALUE!</v>
      </c>
      <c r="I607" s="101">
        <f t="shared" ref="I607:I617" si="51">F607-G607</f>
        <v>-242244000</v>
      </c>
      <c r="J607" s="101">
        <f t="shared" si="49"/>
        <v>-300</v>
      </c>
    </row>
    <row r="608" spans="1:10" ht="20.100000000000001" hidden="1" customHeight="1">
      <c r="A608" s="97"/>
      <c r="B608" s="102" t="s">
        <v>1483</v>
      </c>
      <c r="C608" s="103" t="s">
        <v>145</v>
      </c>
      <c r="D608" s="104"/>
      <c r="E608" s="104">
        <v>726000</v>
      </c>
      <c r="F608" s="100">
        <f t="shared" si="50"/>
        <v>-726000</v>
      </c>
      <c r="G608" s="100">
        <f t="shared" si="50"/>
        <v>1452000</v>
      </c>
      <c r="H608" s="101" t="e">
        <f t="shared" si="49"/>
        <v>#VALUE!</v>
      </c>
      <c r="I608" s="101">
        <f t="shared" si="51"/>
        <v>-2178000</v>
      </c>
      <c r="J608" s="101">
        <f t="shared" si="49"/>
        <v>-300</v>
      </c>
    </row>
    <row r="609" spans="1:10" ht="20.100000000000001" hidden="1" customHeight="1">
      <c r="A609" s="97"/>
      <c r="B609" s="102" t="s">
        <v>1484</v>
      </c>
      <c r="C609" s="103" t="s">
        <v>147</v>
      </c>
      <c r="D609" s="104">
        <v>510000</v>
      </c>
      <c r="E609" s="104">
        <v>510000</v>
      </c>
      <c r="F609" s="100">
        <f t="shared" si="50"/>
        <v>0</v>
      </c>
      <c r="G609" s="100">
        <f t="shared" si="50"/>
        <v>510000</v>
      </c>
      <c r="H609" s="101" t="e">
        <f t="shared" si="49"/>
        <v>#VALUE!</v>
      </c>
      <c r="I609" s="101">
        <f t="shared" si="51"/>
        <v>-510000</v>
      </c>
      <c r="J609" s="101">
        <f t="shared" si="49"/>
        <v>-100</v>
      </c>
    </row>
    <row r="610" spans="1:10" ht="20.100000000000001" hidden="1" customHeight="1">
      <c r="A610" s="97"/>
      <c r="B610" s="102" t="s">
        <v>1485</v>
      </c>
      <c r="C610" s="103" t="s">
        <v>149</v>
      </c>
      <c r="D610" s="104">
        <v>216000</v>
      </c>
      <c r="E610" s="104">
        <v>216000</v>
      </c>
      <c r="F610" s="100">
        <f t="shared" si="50"/>
        <v>0</v>
      </c>
      <c r="G610" s="100">
        <f t="shared" si="50"/>
        <v>216000</v>
      </c>
      <c r="H610" s="101" t="e">
        <f t="shared" si="49"/>
        <v>#VALUE!</v>
      </c>
      <c r="I610" s="101">
        <f t="shared" si="51"/>
        <v>-216000</v>
      </c>
      <c r="J610" s="101">
        <f t="shared" si="49"/>
        <v>-100</v>
      </c>
    </row>
    <row r="611" spans="1:10" ht="20.100000000000001" hidden="1" customHeight="1">
      <c r="A611" s="97"/>
      <c r="B611" s="102" t="s">
        <v>1486</v>
      </c>
      <c r="C611" s="103" t="s">
        <v>151</v>
      </c>
      <c r="D611" s="104"/>
      <c r="E611" s="104">
        <v>447000</v>
      </c>
      <c r="F611" s="100">
        <f t="shared" si="50"/>
        <v>-447000</v>
      </c>
      <c r="G611" s="100">
        <f t="shared" si="50"/>
        <v>894000</v>
      </c>
      <c r="H611" s="101" t="e">
        <f t="shared" si="49"/>
        <v>#VALUE!</v>
      </c>
      <c r="I611" s="101">
        <f t="shared" si="51"/>
        <v>-1341000</v>
      </c>
      <c r="J611" s="101">
        <f t="shared" si="49"/>
        <v>-300</v>
      </c>
    </row>
    <row r="612" spans="1:10" ht="20.100000000000001" hidden="1" customHeight="1">
      <c r="A612" s="97"/>
      <c r="B612" s="102" t="s">
        <v>1487</v>
      </c>
      <c r="C612" s="103" t="s">
        <v>155</v>
      </c>
      <c r="D612" s="104">
        <v>447000</v>
      </c>
      <c r="E612" s="104">
        <v>447000</v>
      </c>
      <c r="F612" s="100">
        <f t="shared" si="50"/>
        <v>0</v>
      </c>
      <c r="G612" s="100">
        <f t="shared" si="50"/>
        <v>447000</v>
      </c>
      <c r="H612" s="101" t="e">
        <f t="shared" si="49"/>
        <v>#VALUE!</v>
      </c>
      <c r="I612" s="101">
        <f t="shared" si="51"/>
        <v>-447000</v>
      </c>
      <c r="J612" s="101">
        <f t="shared" si="49"/>
        <v>-100</v>
      </c>
    </row>
    <row r="613" spans="1:10" ht="20.100000000000001" hidden="1" customHeight="1">
      <c r="A613" s="97"/>
      <c r="B613" s="102" t="s">
        <v>1488</v>
      </c>
      <c r="C613" s="103" t="s">
        <v>328</v>
      </c>
      <c r="D613" s="104"/>
      <c r="E613" s="104">
        <v>7500000</v>
      </c>
      <c r="F613" s="100">
        <f t="shared" si="50"/>
        <v>-7500000</v>
      </c>
      <c r="G613" s="100">
        <f t="shared" si="50"/>
        <v>15000000</v>
      </c>
      <c r="H613" s="101" t="e">
        <f t="shared" si="49"/>
        <v>#VALUE!</v>
      </c>
      <c r="I613" s="101">
        <f t="shared" si="51"/>
        <v>-22500000</v>
      </c>
      <c r="J613" s="101">
        <f t="shared" si="49"/>
        <v>-300</v>
      </c>
    </row>
    <row r="614" spans="1:10" ht="20.100000000000001" hidden="1" customHeight="1">
      <c r="A614" s="97"/>
      <c r="B614" s="102" t="s">
        <v>1489</v>
      </c>
      <c r="C614" s="103" t="s">
        <v>330</v>
      </c>
      <c r="D614" s="104">
        <v>7500000</v>
      </c>
      <c r="E614" s="104">
        <v>7500000</v>
      </c>
      <c r="F614" s="100">
        <f t="shared" si="50"/>
        <v>0</v>
      </c>
      <c r="G614" s="100">
        <f t="shared" si="50"/>
        <v>7500000</v>
      </c>
      <c r="H614" s="101" t="e">
        <f t="shared" si="49"/>
        <v>#VALUE!</v>
      </c>
      <c r="I614" s="101">
        <f t="shared" si="51"/>
        <v>-7500000</v>
      </c>
      <c r="J614" s="101">
        <f t="shared" si="49"/>
        <v>-100</v>
      </c>
    </row>
    <row r="615" spans="1:10" ht="20.100000000000001" hidden="1" customHeight="1">
      <c r="A615" s="97"/>
      <c r="B615" s="102" t="s">
        <v>1490</v>
      </c>
      <c r="C615" s="103" t="s">
        <v>157</v>
      </c>
      <c r="D615" s="104"/>
      <c r="E615" s="104">
        <v>72075000</v>
      </c>
      <c r="F615" s="100">
        <f t="shared" si="50"/>
        <v>-72075000</v>
      </c>
      <c r="G615" s="100">
        <f t="shared" si="50"/>
        <v>144150000</v>
      </c>
      <c r="H615" s="101" t="e">
        <f t="shared" si="49"/>
        <v>#VALUE!</v>
      </c>
      <c r="I615" s="101">
        <f t="shared" si="51"/>
        <v>-216225000</v>
      </c>
      <c r="J615" s="101">
        <f t="shared" si="49"/>
        <v>-300</v>
      </c>
    </row>
    <row r="616" spans="1:10" ht="20.100000000000001" hidden="1" customHeight="1">
      <c r="A616" s="97"/>
      <c r="B616" s="102" t="s">
        <v>1491</v>
      </c>
      <c r="C616" s="103" t="s">
        <v>159</v>
      </c>
      <c r="D616" s="104">
        <v>1100000</v>
      </c>
      <c r="E616" s="104">
        <v>1100000</v>
      </c>
      <c r="F616" s="100">
        <f t="shared" si="50"/>
        <v>0</v>
      </c>
      <c r="G616" s="100">
        <f t="shared" si="50"/>
        <v>1100000</v>
      </c>
      <c r="H616" s="101" t="e">
        <f t="shared" si="49"/>
        <v>#VALUE!</v>
      </c>
      <c r="I616" s="101">
        <f t="shared" si="51"/>
        <v>-1100000</v>
      </c>
      <c r="J616" s="101">
        <f t="shared" si="49"/>
        <v>-100</v>
      </c>
    </row>
    <row r="617" spans="1:10" ht="20.100000000000001" hidden="1" customHeight="1">
      <c r="A617" s="97"/>
      <c r="B617" s="102" t="s">
        <v>1492</v>
      </c>
      <c r="C617" s="103" t="s">
        <v>207</v>
      </c>
      <c r="D617" s="104">
        <v>70975000</v>
      </c>
      <c r="E617" s="104">
        <v>70975000</v>
      </c>
      <c r="F617" s="100">
        <f t="shared" si="50"/>
        <v>0</v>
      </c>
      <c r="G617" s="100">
        <f t="shared" si="50"/>
        <v>70975000</v>
      </c>
      <c r="H617" s="101" t="e">
        <f t="shared" si="49"/>
        <v>#VALUE!</v>
      </c>
      <c r="I617" s="101">
        <f t="shared" si="51"/>
        <v>-70975000</v>
      </c>
      <c r="J617" s="101">
        <f t="shared" si="49"/>
        <v>-100</v>
      </c>
    </row>
    <row r="618" spans="1:10" ht="20.100000000000001" customHeight="1">
      <c r="A618" s="111">
        <v>35</v>
      </c>
      <c r="B618" s="193" t="s">
        <v>1493</v>
      </c>
      <c r="C618" s="195" t="s">
        <v>335</v>
      </c>
      <c r="D618" s="197">
        <f>SUM(D620:D642)</f>
        <v>94412000</v>
      </c>
      <c r="E618" s="197">
        <f>'rekap REALISASI REKO '!AB168</f>
        <v>94000000</v>
      </c>
      <c r="F618" s="197">
        <f>D618-E618</f>
        <v>412000</v>
      </c>
      <c r="G618" s="216">
        <v>20434925</v>
      </c>
      <c r="H618" s="214">
        <f>G618/E618*100</f>
        <v>21.739281914893617</v>
      </c>
      <c r="I618" s="214">
        <f>E618-G618</f>
        <v>73565075</v>
      </c>
      <c r="J618" s="214">
        <f>I618/E618*100</f>
        <v>78.26071808510639</v>
      </c>
    </row>
    <row r="619" spans="1:10" ht="31.5" customHeight="1">
      <c r="A619" s="112"/>
      <c r="B619" s="194"/>
      <c r="C619" s="196"/>
      <c r="D619" s="198"/>
      <c r="E619" s="198"/>
      <c r="F619" s="198"/>
      <c r="G619" s="217"/>
      <c r="H619" s="215"/>
      <c r="I619" s="215"/>
      <c r="J619" s="215"/>
    </row>
    <row r="620" spans="1:10" ht="20.100000000000001" hidden="1" customHeight="1">
      <c r="A620" s="97"/>
      <c r="B620" s="102" t="s">
        <v>1494</v>
      </c>
      <c r="C620" s="103" t="s">
        <v>10</v>
      </c>
      <c r="D620" s="104"/>
      <c r="E620" s="104">
        <v>13125000</v>
      </c>
      <c r="F620" s="100">
        <f t="shared" si="50"/>
        <v>-13125000</v>
      </c>
      <c r="G620" s="100">
        <f t="shared" si="50"/>
        <v>26250000</v>
      </c>
      <c r="H620" s="101" t="e">
        <f t="shared" si="49"/>
        <v>#VALUE!</v>
      </c>
      <c r="I620" s="101">
        <f t="shared" ref="I620:I642" si="52">F620-G620</f>
        <v>-39375000</v>
      </c>
      <c r="J620" s="101">
        <f t="shared" si="49"/>
        <v>-300</v>
      </c>
    </row>
    <row r="621" spans="1:10" ht="20.100000000000001" hidden="1" customHeight="1">
      <c r="A621" s="97"/>
      <c r="B621" s="102" t="s">
        <v>1495</v>
      </c>
      <c r="C621" s="103" t="s">
        <v>177</v>
      </c>
      <c r="D621" s="104"/>
      <c r="E621" s="104">
        <v>9825000</v>
      </c>
      <c r="F621" s="100">
        <f t="shared" si="50"/>
        <v>-9825000</v>
      </c>
      <c r="G621" s="100">
        <f t="shared" si="50"/>
        <v>19650000</v>
      </c>
      <c r="H621" s="101" t="e">
        <f t="shared" si="49"/>
        <v>#VALUE!</v>
      </c>
      <c r="I621" s="101">
        <f t="shared" si="52"/>
        <v>-29475000</v>
      </c>
      <c r="J621" s="101">
        <f t="shared" si="49"/>
        <v>-300</v>
      </c>
    </row>
    <row r="622" spans="1:10" ht="20.100000000000001" hidden="1" customHeight="1">
      <c r="A622" s="97"/>
      <c r="B622" s="102" t="s">
        <v>1496</v>
      </c>
      <c r="C622" s="103" t="s">
        <v>283</v>
      </c>
      <c r="D622" s="104">
        <v>9825000</v>
      </c>
      <c r="E622" s="104">
        <v>9825000</v>
      </c>
      <c r="F622" s="100">
        <f t="shared" si="50"/>
        <v>0</v>
      </c>
      <c r="G622" s="100">
        <f t="shared" si="50"/>
        <v>9825000</v>
      </c>
      <c r="H622" s="101" t="e">
        <f t="shared" si="49"/>
        <v>#VALUE!</v>
      </c>
      <c r="I622" s="101">
        <f t="shared" si="52"/>
        <v>-9825000</v>
      </c>
      <c r="J622" s="101">
        <f t="shared" si="49"/>
        <v>-100</v>
      </c>
    </row>
    <row r="623" spans="1:10" ht="20.100000000000001" hidden="1" customHeight="1">
      <c r="A623" s="97"/>
      <c r="B623" s="102" t="s">
        <v>1497</v>
      </c>
      <c r="C623" s="103" t="s">
        <v>341</v>
      </c>
      <c r="D623" s="104"/>
      <c r="E623" s="104">
        <v>3300000</v>
      </c>
      <c r="F623" s="100">
        <f t="shared" si="50"/>
        <v>-3300000</v>
      </c>
      <c r="G623" s="100">
        <f t="shared" si="50"/>
        <v>6600000</v>
      </c>
      <c r="H623" s="101" t="e">
        <f t="shared" si="49"/>
        <v>#VALUE!</v>
      </c>
      <c r="I623" s="101">
        <f t="shared" si="52"/>
        <v>-9900000</v>
      </c>
      <c r="J623" s="101">
        <f t="shared" si="49"/>
        <v>-300</v>
      </c>
    </row>
    <row r="624" spans="1:10" ht="20.100000000000001" hidden="1" customHeight="1">
      <c r="A624" s="97"/>
      <c r="B624" s="102" t="s">
        <v>1498</v>
      </c>
      <c r="C624" s="103" t="s">
        <v>1185</v>
      </c>
      <c r="D624" s="104">
        <v>3300000</v>
      </c>
      <c r="E624" s="104">
        <v>3300000</v>
      </c>
      <c r="F624" s="100">
        <f t="shared" si="50"/>
        <v>0</v>
      </c>
      <c r="G624" s="100">
        <f t="shared" si="50"/>
        <v>3300000</v>
      </c>
      <c r="H624" s="101" t="e">
        <f t="shared" si="49"/>
        <v>#VALUE!</v>
      </c>
      <c r="I624" s="101">
        <f t="shared" si="52"/>
        <v>-3300000</v>
      </c>
      <c r="J624" s="101">
        <f t="shared" si="49"/>
        <v>-100</v>
      </c>
    </row>
    <row r="625" spans="1:10" ht="20.100000000000001" hidden="1" customHeight="1">
      <c r="A625" s="97"/>
      <c r="B625" s="102" t="s">
        <v>1499</v>
      </c>
      <c r="C625" s="103" t="s">
        <v>143</v>
      </c>
      <c r="D625" s="104"/>
      <c r="E625" s="104">
        <v>81287000</v>
      </c>
      <c r="F625" s="100">
        <f t="shared" si="50"/>
        <v>-81287000</v>
      </c>
      <c r="G625" s="100">
        <f t="shared" si="50"/>
        <v>162574000</v>
      </c>
      <c r="H625" s="101" t="e">
        <f t="shared" si="49"/>
        <v>#VALUE!</v>
      </c>
      <c r="I625" s="101">
        <f t="shared" si="52"/>
        <v>-243861000</v>
      </c>
      <c r="J625" s="101">
        <f t="shared" si="49"/>
        <v>-300</v>
      </c>
    </row>
    <row r="626" spans="1:10" ht="20.100000000000001" hidden="1" customHeight="1">
      <c r="A626" s="97"/>
      <c r="B626" s="102" t="s">
        <v>1500</v>
      </c>
      <c r="C626" s="103" t="s">
        <v>145</v>
      </c>
      <c r="D626" s="104"/>
      <c r="E626" s="104">
        <v>1501000</v>
      </c>
      <c r="F626" s="100">
        <f t="shared" si="50"/>
        <v>-1501000</v>
      </c>
      <c r="G626" s="100">
        <f t="shared" si="50"/>
        <v>3002000</v>
      </c>
      <c r="H626" s="101" t="e">
        <f t="shared" si="49"/>
        <v>#VALUE!</v>
      </c>
      <c r="I626" s="101">
        <f t="shared" si="52"/>
        <v>-4503000</v>
      </c>
      <c r="J626" s="101">
        <f t="shared" si="49"/>
        <v>-300</v>
      </c>
    </row>
    <row r="627" spans="1:10" ht="20.100000000000001" hidden="1" customHeight="1">
      <c r="A627" s="97"/>
      <c r="B627" s="102" t="s">
        <v>1501</v>
      </c>
      <c r="C627" s="103" t="s">
        <v>147</v>
      </c>
      <c r="D627" s="104">
        <v>1303000</v>
      </c>
      <c r="E627" s="104">
        <v>1303000</v>
      </c>
      <c r="F627" s="100">
        <f t="shared" si="50"/>
        <v>0</v>
      </c>
      <c r="G627" s="100">
        <f t="shared" si="50"/>
        <v>1303000</v>
      </c>
      <c r="H627" s="101" t="e">
        <f t="shared" si="49"/>
        <v>#VALUE!</v>
      </c>
      <c r="I627" s="101">
        <f t="shared" si="52"/>
        <v>-1303000</v>
      </c>
      <c r="J627" s="101">
        <f t="shared" si="49"/>
        <v>-100</v>
      </c>
    </row>
    <row r="628" spans="1:10" ht="20.100000000000001" hidden="1" customHeight="1">
      <c r="A628" s="97"/>
      <c r="B628" s="102" t="s">
        <v>1502</v>
      </c>
      <c r="C628" s="103" t="s">
        <v>149</v>
      </c>
      <c r="D628" s="104">
        <v>198000</v>
      </c>
      <c r="E628" s="104">
        <v>198000</v>
      </c>
      <c r="F628" s="100">
        <f t="shared" si="50"/>
        <v>0</v>
      </c>
      <c r="G628" s="100">
        <f t="shared" si="50"/>
        <v>198000</v>
      </c>
      <c r="H628" s="101" t="e">
        <f t="shared" si="49"/>
        <v>#VALUE!</v>
      </c>
      <c r="I628" s="101">
        <f t="shared" si="52"/>
        <v>-198000</v>
      </c>
      <c r="J628" s="101">
        <f t="shared" si="49"/>
        <v>-100</v>
      </c>
    </row>
    <row r="629" spans="1:10" ht="20.100000000000001" hidden="1" customHeight="1">
      <c r="A629" s="97"/>
      <c r="B629" s="102" t="s">
        <v>1503</v>
      </c>
      <c r="C629" s="103" t="s">
        <v>163</v>
      </c>
      <c r="D629" s="104"/>
      <c r="E629" s="104">
        <v>26176000</v>
      </c>
      <c r="F629" s="100">
        <f t="shared" si="50"/>
        <v>-26176000</v>
      </c>
      <c r="G629" s="100">
        <f t="shared" si="50"/>
        <v>52352000</v>
      </c>
      <c r="H629" s="101" t="e">
        <f t="shared" si="49"/>
        <v>#VALUE!</v>
      </c>
      <c r="I629" s="101">
        <f t="shared" si="52"/>
        <v>-78528000</v>
      </c>
      <c r="J629" s="101">
        <f t="shared" si="49"/>
        <v>-300</v>
      </c>
    </row>
    <row r="630" spans="1:10" ht="20.100000000000001" hidden="1" customHeight="1">
      <c r="A630" s="97"/>
      <c r="B630" s="102" t="s">
        <v>1504</v>
      </c>
      <c r="C630" s="103" t="s">
        <v>349</v>
      </c>
      <c r="D630" s="104">
        <v>351000</v>
      </c>
      <c r="E630" s="104">
        <v>351000</v>
      </c>
      <c r="F630" s="100">
        <f t="shared" si="50"/>
        <v>0</v>
      </c>
      <c r="G630" s="100">
        <f t="shared" si="50"/>
        <v>351000</v>
      </c>
      <c r="H630" s="101" t="e">
        <f t="shared" si="49"/>
        <v>#VALUE!</v>
      </c>
      <c r="I630" s="101">
        <f t="shared" si="52"/>
        <v>-351000</v>
      </c>
      <c r="J630" s="101">
        <f t="shared" si="49"/>
        <v>-100</v>
      </c>
    </row>
    <row r="631" spans="1:10" ht="20.100000000000001" hidden="1" customHeight="1">
      <c r="A631" s="97"/>
      <c r="B631" s="102" t="s">
        <v>1505</v>
      </c>
      <c r="C631" s="103" t="s">
        <v>231</v>
      </c>
      <c r="D631" s="104">
        <v>825000</v>
      </c>
      <c r="E631" s="104">
        <v>825000</v>
      </c>
      <c r="F631" s="100">
        <f t="shared" si="50"/>
        <v>0</v>
      </c>
      <c r="G631" s="100">
        <f t="shared" si="50"/>
        <v>825000</v>
      </c>
      <c r="H631" s="101" t="e">
        <f t="shared" si="49"/>
        <v>#VALUE!</v>
      </c>
      <c r="I631" s="101">
        <f t="shared" si="52"/>
        <v>-825000</v>
      </c>
      <c r="J631" s="101">
        <f t="shared" si="49"/>
        <v>-100</v>
      </c>
    </row>
    <row r="632" spans="1:10" ht="20.100000000000001" hidden="1" customHeight="1">
      <c r="A632" s="97"/>
      <c r="B632" s="102" t="s">
        <v>1506</v>
      </c>
      <c r="C632" s="103" t="s">
        <v>352</v>
      </c>
      <c r="D632" s="104">
        <v>25000000</v>
      </c>
      <c r="E632" s="104">
        <v>25000000</v>
      </c>
      <c r="F632" s="100">
        <f t="shared" si="50"/>
        <v>0</v>
      </c>
      <c r="G632" s="100">
        <f t="shared" si="50"/>
        <v>25000000</v>
      </c>
      <c r="H632" s="101" t="e">
        <f t="shared" si="49"/>
        <v>#VALUE!</v>
      </c>
      <c r="I632" s="101">
        <f t="shared" si="52"/>
        <v>-25000000</v>
      </c>
      <c r="J632" s="101">
        <f t="shared" si="49"/>
        <v>-100</v>
      </c>
    </row>
    <row r="633" spans="1:10" ht="20.100000000000001" hidden="1" customHeight="1">
      <c r="A633" s="97"/>
      <c r="B633" s="102" t="s">
        <v>1507</v>
      </c>
      <c r="C633" s="103" t="s">
        <v>151</v>
      </c>
      <c r="D633" s="104"/>
      <c r="E633" s="104">
        <v>995000</v>
      </c>
      <c r="F633" s="100">
        <f t="shared" si="50"/>
        <v>-995000</v>
      </c>
      <c r="G633" s="100">
        <f t="shared" si="50"/>
        <v>1990000</v>
      </c>
      <c r="H633" s="101" t="e">
        <f t="shared" si="49"/>
        <v>#VALUE!</v>
      </c>
      <c r="I633" s="101">
        <f t="shared" si="52"/>
        <v>-2985000</v>
      </c>
      <c r="J633" s="101">
        <f t="shared" si="49"/>
        <v>-300</v>
      </c>
    </row>
    <row r="634" spans="1:10" ht="20.100000000000001" hidden="1" customHeight="1">
      <c r="A634" s="97"/>
      <c r="B634" s="102" t="s">
        <v>1508</v>
      </c>
      <c r="C634" s="103" t="s">
        <v>153</v>
      </c>
      <c r="D634" s="104">
        <v>75000</v>
      </c>
      <c r="E634" s="104">
        <v>75000</v>
      </c>
      <c r="F634" s="100">
        <f t="shared" si="50"/>
        <v>0</v>
      </c>
      <c r="G634" s="100">
        <f t="shared" si="50"/>
        <v>75000</v>
      </c>
      <c r="H634" s="101" t="e">
        <f t="shared" si="49"/>
        <v>#VALUE!</v>
      </c>
      <c r="I634" s="101">
        <f t="shared" si="52"/>
        <v>-75000</v>
      </c>
      <c r="J634" s="101">
        <f t="shared" si="49"/>
        <v>-100</v>
      </c>
    </row>
    <row r="635" spans="1:10" ht="20.100000000000001" hidden="1" customHeight="1">
      <c r="A635" s="97"/>
      <c r="B635" s="102" t="s">
        <v>1509</v>
      </c>
      <c r="C635" s="103" t="s">
        <v>155</v>
      </c>
      <c r="D635" s="104">
        <v>920000</v>
      </c>
      <c r="E635" s="104">
        <v>920000</v>
      </c>
      <c r="F635" s="100">
        <f t="shared" si="50"/>
        <v>0</v>
      </c>
      <c r="G635" s="100">
        <f t="shared" si="50"/>
        <v>920000</v>
      </c>
      <c r="H635" s="101" t="e">
        <f t="shared" si="49"/>
        <v>#VALUE!</v>
      </c>
      <c r="I635" s="101">
        <f t="shared" si="52"/>
        <v>-920000</v>
      </c>
      <c r="J635" s="101">
        <f t="shared" si="49"/>
        <v>-100</v>
      </c>
    </row>
    <row r="636" spans="1:10" ht="20.100000000000001" hidden="1" customHeight="1">
      <c r="A636" s="97"/>
      <c r="B636" s="102" t="s">
        <v>1510</v>
      </c>
      <c r="C636" s="103" t="s">
        <v>328</v>
      </c>
      <c r="D636" s="104"/>
      <c r="E636" s="104">
        <v>10000000</v>
      </c>
      <c r="F636" s="100">
        <f t="shared" si="50"/>
        <v>-10000000</v>
      </c>
      <c r="G636" s="100">
        <f t="shared" si="50"/>
        <v>20000000</v>
      </c>
      <c r="H636" s="101" t="e">
        <f t="shared" si="49"/>
        <v>#VALUE!</v>
      </c>
      <c r="I636" s="101">
        <f t="shared" si="52"/>
        <v>-30000000</v>
      </c>
      <c r="J636" s="101">
        <f t="shared" si="49"/>
        <v>-300</v>
      </c>
    </row>
    <row r="637" spans="1:10" ht="20.100000000000001" hidden="1" customHeight="1">
      <c r="A637" s="97"/>
      <c r="B637" s="102" t="s">
        <v>1511</v>
      </c>
      <c r="C637" s="103" t="s">
        <v>330</v>
      </c>
      <c r="D637" s="104">
        <v>10000000</v>
      </c>
      <c r="E637" s="104">
        <v>10000000</v>
      </c>
      <c r="F637" s="100">
        <f t="shared" si="50"/>
        <v>0</v>
      </c>
      <c r="G637" s="100">
        <f t="shared" si="50"/>
        <v>10000000</v>
      </c>
      <c r="H637" s="101" t="e">
        <f t="shared" si="49"/>
        <v>#VALUE!</v>
      </c>
      <c r="I637" s="101">
        <f t="shared" si="52"/>
        <v>-10000000</v>
      </c>
      <c r="J637" s="101">
        <f t="shared" si="49"/>
        <v>-100</v>
      </c>
    </row>
    <row r="638" spans="1:10" ht="20.100000000000001" hidden="1" customHeight="1">
      <c r="A638" s="97"/>
      <c r="B638" s="102" t="s">
        <v>1512</v>
      </c>
      <c r="C638" s="103" t="s">
        <v>193</v>
      </c>
      <c r="D638" s="104"/>
      <c r="E638" s="104">
        <v>3180000</v>
      </c>
      <c r="F638" s="100">
        <f t="shared" si="50"/>
        <v>-3180000</v>
      </c>
      <c r="G638" s="100">
        <f t="shared" si="50"/>
        <v>6360000</v>
      </c>
      <c r="H638" s="101" t="e">
        <f t="shared" si="49"/>
        <v>#VALUE!</v>
      </c>
      <c r="I638" s="101">
        <f t="shared" si="52"/>
        <v>-9540000</v>
      </c>
      <c r="J638" s="101">
        <f t="shared" si="49"/>
        <v>-300</v>
      </c>
    </row>
    <row r="639" spans="1:10" ht="20.100000000000001" hidden="1" customHeight="1">
      <c r="A639" s="97"/>
      <c r="B639" s="102" t="s">
        <v>1513</v>
      </c>
      <c r="C639" s="103" t="s">
        <v>195</v>
      </c>
      <c r="D639" s="104">
        <v>3180000</v>
      </c>
      <c r="E639" s="104">
        <v>3180000</v>
      </c>
      <c r="F639" s="100">
        <f t="shared" si="50"/>
        <v>0</v>
      </c>
      <c r="G639" s="100">
        <f t="shared" si="50"/>
        <v>3180000</v>
      </c>
      <c r="H639" s="101" t="e">
        <f t="shared" si="49"/>
        <v>#VALUE!</v>
      </c>
      <c r="I639" s="101">
        <f t="shared" si="52"/>
        <v>-3180000</v>
      </c>
      <c r="J639" s="101">
        <f t="shared" si="49"/>
        <v>-100</v>
      </c>
    </row>
    <row r="640" spans="1:10" ht="20.100000000000001" hidden="1" customHeight="1">
      <c r="A640" s="97"/>
      <c r="B640" s="102" t="s">
        <v>1514</v>
      </c>
      <c r="C640" s="103" t="s">
        <v>157</v>
      </c>
      <c r="D640" s="104"/>
      <c r="E640" s="104">
        <v>39435000</v>
      </c>
      <c r="F640" s="100">
        <f t="shared" si="50"/>
        <v>-39435000</v>
      </c>
      <c r="G640" s="100">
        <f t="shared" si="50"/>
        <v>78870000</v>
      </c>
      <c r="H640" s="101" t="e">
        <f t="shared" si="49"/>
        <v>#VALUE!</v>
      </c>
      <c r="I640" s="101">
        <f t="shared" si="52"/>
        <v>-118305000</v>
      </c>
      <c r="J640" s="101">
        <f t="shared" si="49"/>
        <v>-300</v>
      </c>
    </row>
    <row r="641" spans="1:10" ht="20.100000000000001" hidden="1" customHeight="1">
      <c r="A641" s="97"/>
      <c r="B641" s="102" t="s">
        <v>1515</v>
      </c>
      <c r="C641" s="103" t="s">
        <v>159</v>
      </c>
      <c r="D641" s="104">
        <v>3960000</v>
      </c>
      <c r="E641" s="104">
        <v>3960000</v>
      </c>
      <c r="F641" s="100">
        <f t="shared" si="50"/>
        <v>0</v>
      </c>
      <c r="G641" s="100">
        <f t="shared" si="50"/>
        <v>3960000</v>
      </c>
      <c r="H641" s="101" t="e">
        <f t="shared" si="49"/>
        <v>#VALUE!</v>
      </c>
      <c r="I641" s="101">
        <f t="shared" si="52"/>
        <v>-3960000</v>
      </c>
      <c r="J641" s="101">
        <f t="shared" si="49"/>
        <v>-100</v>
      </c>
    </row>
    <row r="642" spans="1:10" ht="20.100000000000001" hidden="1" customHeight="1">
      <c r="A642" s="97"/>
      <c r="B642" s="102" t="s">
        <v>1516</v>
      </c>
      <c r="C642" s="103" t="s">
        <v>207</v>
      </c>
      <c r="D642" s="104">
        <v>35475000</v>
      </c>
      <c r="E642" s="104">
        <v>35475000</v>
      </c>
      <c r="F642" s="100">
        <f t="shared" si="50"/>
        <v>0</v>
      </c>
      <c r="G642" s="100">
        <f t="shared" si="50"/>
        <v>35475000</v>
      </c>
      <c r="H642" s="101" t="e">
        <f t="shared" si="49"/>
        <v>#VALUE!</v>
      </c>
      <c r="I642" s="101">
        <f t="shared" si="52"/>
        <v>-35475000</v>
      </c>
      <c r="J642" s="101">
        <f t="shared" si="49"/>
        <v>-100</v>
      </c>
    </row>
    <row r="643" spans="1:10" ht="20.100000000000001" customHeight="1">
      <c r="A643" s="105" t="s">
        <v>846</v>
      </c>
      <c r="B643" s="106" t="s">
        <v>1517</v>
      </c>
      <c r="C643" s="107" t="s">
        <v>7</v>
      </c>
      <c r="D643" s="108">
        <f>D644+D658</f>
        <v>37699000</v>
      </c>
      <c r="E643" s="108">
        <f>E644+E658</f>
        <v>10587000</v>
      </c>
      <c r="F643" s="109">
        <f t="shared" si="50"/>
        <v>27112000</v>
      </c>
      <c r="G643" s="109">
        <f>G644+G658</f>
        <v>10459450</v>
      </c>
      <c r="H643" s="110">
        <f>G643/E643*100</f>
        <v>98.795220553509026</v>
      </c>
      <c r="I643" s="109">
        <f>I644+I658</f>
        <v>127550</v>
      </c>
      <c r="J643" s="110">
        <f t="shared" si="49"/>
        <v>1.2047794464909796</v>
      </c>
    </row>
    <row r="644" spans="1:10" ht="20.100000000000001" customHeight="1">
      <c r="A644" s="111">
        <v>36</v>
      </c>
      <c r="B644" s="193" t="s">
        <v>1518</v>
      </c>
      <c r="C644" s="195" t="s">
        <v>1519</v>
      </c>
      <c r="D644" s="197">
        <f>SUM(D646:D657)</f>
        <v>24997000</v>
      </c>
      <c r="E644" s="197">
        <v>0</v>
      </c>
      <c r="F644" s="197">
        <f>D644-E644</f>
        <v>24997000</v>
      </c>
      <c r="G644" s="216">
        <v>0</v>
      </c>
      <c r="H644" s="214">
        <v>0</v>
      </c>
      <c r="I644" s="214">
        <f>E644-G644</f>
        <v>0</v>
      </c>
      <c r="J644" s="214">
        <v>0</v>
      </c>
    </row>
    <row r="645" spans="1:10" ht="8.25" customHeight="1">
      <c r="A645" s="112"/>
      <c r="B645" s="194"/>
      <c r="C645" s="196"/>
      <c r="D645" s="198"/>
      <c r="E645" s="198"/>
      <c r="F645" s="198"/>
      <c r="G645" s="217"/>
      <c r="H645" s="215"/>
      <c r="I645" s="215"/>
      <c r="J645" s="215"/>
    </row>
    <row r="646" spans="1:10" ht="20.100000000000001" hidden="1" customHeight="1">
      <c r="A646" s="97"/>
      <c r="B646" s="102" t="s">
        <v>1520</v>
      </c>
      <c r="C646" s="103" t="s">
        <v>10</v>
      </c>
      <c r="D646" s="104"/>
      <c r="E646" s="104">
        <v>3210000</v>
      </c>
      <c r="F646" s="100">
        <f t="shared" si="50"/>
        <v>-3210000</v>
      </c>
      <c r="G646" s="100">
        <f t="shared" si="50"/>
        <v>6420000</v>
      </c>
      <c r="H646" s="101" t="e">
        <f t="shared" si="49"/>
        <v>#VALUE!</v>
      </c>
      <c r="I646" s="101">
        <f t="shared" ref="I646:I657" si="53">F646-G646</f>
        <v>-9630000</v>
      </c>
      <c r="J646" s="101">
        <f t="shared" si="49"/>
        <v>-300</v>
      </c>
    </row>
    <row r="647" spans="1:10" ht="20.100000000000001" hidden="1" customHeight="1">
      <c r="A647" s="97"/>
      <c r="B647" s="102" t="s">
        <v>1521</v>
      </c>
      <c r="C647" s="103" t="s">
        <v>177</v>
      </c>
      <c r="D647" s="104"/>
      <c r="E647" s="104">
        <v>3210000</v>
      </c>
      <c r="F647" s="100">
        <f t="shared" si="50"/>
        <v>-3210000</v>
      </c>
      <c r="G647" s="100">
        <f t="shared" si="50"/>
        <v>6420000</v>
      </c>
      <c r="H647" s="101" t="e">
        <f t="shared" si="49"/>
        <v>#VALUE!</v>
      </c>
      <c r="I647" s="101">
        <f t="shared" si="53"/>
        <v>-9630000</v>
      </c>
      <c r="J647" s="101">
        <f t="shared" si="49"/>
        <v>-300</v>
      </c>
    </row>
    <row r="648" spans="1:10" ht="20.100000000000001" hidden="1" customHeight="1">
      <c r="A648" s="97"/>
      <c r="B648" s="102" t="s">
        <v>1522</v>
      </c>
      <c r="C648" s="103" t="s">
        <v>283</v>
      </c>
      <c r="D648" s="104">
        <v>3210000</v>
      </c>
      <c r="E648" s="104">
        <v>3210000</v>
      </c>
      <c r="F648" s="100">
        <f t="shared" si="50"/>
        <v>0</v>
      </c>
      <c r="G648" s="100">
        <f t="shared" si="50"/>
        <v>3210000</v>
      </c>
      <c r="H648" s="101" t="e">
        <f t="shared" si="49"/>
        <v>#VALUE!</v>
      </c>
      <c r="I648" s="101">
        <f t="shared" si="53"/>
        <v>-3210000</v>
      </c>
      <c r="J648" s="101">
        <f t="shared" si="49"/>
        <v>-100</v>
      </c>
    </row>
    <row r="649" spans="1:10" ht="20.100000000000001" hidden="1" customHeight="1">
      <c r="A649" s="97"/>
      <c r="B649" s="102" t="s">
        <v>1523</v>
      </c>
      <c r="C649" s="103" t="s">
        <v>143</v>
      </c>
      <c r="D649" s="104"/>
      <c r="E649" s="104">
        <v>21787000</v>
      </c>
      <c r="F649" s="100">
        <f t="shared" si="50"/>
        <v>-21787000</v>
      </c>
      <c r="G649" s="100">
        <f t="shared" si="50"/>
        <v>43574000</v>
      </c>
      <c r="H649" s="101" t="e">
        <f t="shared" si="49"/>
        <v>#VALUE!</v>
      </c>
      <c r="I649" s="101">
        <f t="shared" si="53"/>
        <v>-65361000</v>
      </c>
      <c r="J649" s="101">
        <f t="shared" si="49"/>
        <v>-300</v>
      </c>
    </row>
    <row r="650" spans="1:10" ht="20.100000000000001" hidden="1" customHeight="1">
      <c r="A650" s="97"/>
      <c r="B650" s="102" t="s">
        <v>1524</v>
      </c>
      <c r="C650" s="103" t="s">
        <v>145</v>
      </c>
      <c r="D650" s="104"/>
      <c r="E650" s="104">
        <v>2447000</v>
      </c>
      <c r="F650" s="100">
        <f t="shared" si="50"/>
        <v>-2447000</v>
      </c>
      <c r="G650" s="100">
        <f t="shared" si="50"/>
        <v>4894000</v>
      </c>
      <c r="H650" s="101" t="e">
        <f t="shared" ref="H650:J672" si="54">G650/C650*100</f>
        <v>#VALUE!</v>
      </c>
      <c r="I650" s="101">
        <f t="shared" si="53"/>
        <v>-7341000</v>
      </c>
      <c r="J650" s="101">
        <f t="shared" si="54"/>
        <v>-300</v>
      </c>
    </row>
    <row r="651" spans="1:10" ht="20.100000000000001" hidden="1" customHeight="1">
      <c r="A651" s="97"/>
      <c r="B651" s="102" t="s">
        <v>1525</v>
      </c>
      <c r="C651" s="103" t="s">
        <v>147</v>
      </c>
      <c r="D651" s="104">
        <v>2447000</v>
      </c>
      <c r="E651" s="104">
        <v>2447000</v>
      </c>
      <c r="F651" s="100">
        <f t="shared" ref="F651:G673" si="55">D651-E651</f>
        <v>0</v>
      </c>
      <c r="G651" s="100">
        <f t="shared" si="55"/>
        <v>2447000</v>
      </c>
      <c r="H651" s="101" t="e">
        <f t="shared" si="54"/>
        <v>#VALUE!</v>
      </c>
      <c r="I651" s="101">
        <f t="shared" si="53"/>
        <v>-2447000</v>
      </c>
      <c r="J651" s="101">
        <f t="shared" si="54"/>
        <v>-100</v>
      </c>
    </row>
    <row r="652" spans="1:10" ht="20.100000000000001" hidden="1" customHeight="1">
      <c r="A652" s="97"/>
      <c r="B652" s="102" t="s">
        <v>1526</v>
      </c>
      <c r="C652" s="103" t="s">
        <v>151</v>
      </c>
      <c r="D652" s="104"/>
      <c r="E652" s="104">
        <v>4715000</v>
      </c>
      <c r="F652" s="100">
        <f t="shared" si="55"/>
        <v>-4715000</v>
      </c>
      <c r="G652" s="100">
        <f t="shared" si="55"/>
        <v>9430000</v>
      </c>
      <c r="H652" s="101" t="e">
        <f t="shared" si="54"/>
        <v>#VALUE!</v>
      </c>
      <c r="I652" s="101">
        <f t="shared" si="53"/>
        <v>-14145000</v>
      </c>
      <c r="J652" s="101">
        <f t="shared" si="54"/>
        <v>-300</v>
      </c>
    </row>
    <row r="653" spans="1:10" ht="20.100000000000001" hidden="1" customHeight="1">
      <c r="A653" s="97"/>
      <c r="B653" s="102" t="s">
        <v>1527</v>
      </c>
      <c r="C653" s="103" t="s">
        <v>155</v>
      </c>
      <c r="D653" s="104">
        <v>4715000</v>
      </c>
      <c r="E653" s="104">
        <v>4715000</v>
      </c>
      <c r="F653" s="100">
        <f t="shared" si="55"/>
        <v>0</v>
      </c>
      <c r="G653" s="100">
        <f t="shared" si="55"/>
        <v>4715000</v>
      </c>
      <c r="H653" s="101" t="e">
        <f t="shared" si="54"/>
        <v>#VALUE!</v>
      </c>
      <c r="I653" s="101">
        <f t="shared" si="53"/>
        <v>-4715000</v>
      </c>
      <c r="J653" s="101">
        <f t="shared" si="54"/>
        <v>-100</v>
      </c>
    </row>
    <row r="654" spans="1:10" ht="20.100000000000001" hidden="1" customHeight="1">
      <c r="A654" s="97"/>
      <c r="B654" s="102" t="s">
        <v>1528</v>
      </c>
      <c r="C654" s="103" t="s">
        <v>193</v>
      </c>
      <c r="D654" s="104"/>
      <c r="E654" s="104">
        <v>11745000</v>
      </c>
      <c r="F654" s="100">
        <f t="shared" si="55"/>
        <v>-11745000</v>
      </c>
      <c r="G654" s="100">
        <f t="shared" si="55"/>
        <v>23490000</v>
      </c>
      <c r="H654" s="101" t="e">
        <f t="shared" si="54"/>
        <v>#VALUE!</v>
      </c>
      <c r="I654" s="101">
        <f t="shared" si="53"/>
        <v>-35235000</v>
      </c>
      <c r="J654" s="101">
        <f t="shared" si="54"/>
        <v>-300</v>
      </c>
    </row>
    <row r="655" spans="1:10" ht="20.100000000000001" hidden="1" customHeight="1">
      <c r="A655" s="97"/>
      <c r="B655" s="102" t="s">
        <v>1529</v>
      </c>
      <c r="C655" s="103" t="s">
        <v>195</v>
      </c>
      <c r="D655" s="104">
        <v>11745000</v>
      </c>
      <c r="E655" s="104">
        <v>11745000</v>
      </c>
      <c r="F655" s="100">
        <f t="shared" si="55"/>
        <v>0</v>
      </c>
      <c r="G655" s="100">
        <f t="shared" si="55"/>
        <v>11745000</v>
      </c>
      <c r="H655" s="101" t="e">
        <f t="shared" si="54"/>
        <v>#VALUE!</v>
      </c>
      <c r="I655" s="101">
        <f t="shared" si="53"/>
        <v>-11745000</v>
      </c>
      <c r="J655" s="101">
        <f t="shared" si="54"/>
        <v>-100</v>
      </c>
    </row>
    <row r="656" spans="1:10" ht="20.100000000000001" hidden="1" customHeight="1">
      <c r="A656" s="97"/>
      <c r="B656" s="102" t="s">
        <v>1530</v>
      </c>
      <c r="C656" s="103" t="s">
        <v>157</v>
      </c>
      <c r="D656" s="104"/>
      <c r="E656" s="104">
        <v>2880000</v>
      </c>
      <c r="F656" s="100">
        <f t="shared" si="55"/>
        <v>-2880000</v>
      </c>
      <c r="G656" s="100">
        <f t="shared" si="55"/>
        <v>5760000</v>
      </c>
      <c r="H656" s="101" t="e">
        <f t="shared" si="54"/>
        <v>#VALUE!</v>
      </c>
      <c r="I656" s="101">
        <f t="shared" si="53"/>
        <v>-8640000</v>
      </c>
      <c r="J656" s="101">
        <f t="shared" si="54"/>
        <v>-300</v>
      </c>
    </row>
    <row r="657" spans="1:10" ht="20.100000000000001" hidden="1" customHeight="1">
      <c r="A657" s="97"/>
      <c r="B657" s="102" t="s">
        <v>1531</v>
      </c>
      <c r="C657" s="103" t="s">
        <v>159</v>
      </c>
      <c r="D657" s="104">
        <v>2880000</v>
      </c>
      <c r="E657" s="104">
        <v>2880000</v>
      </c>
      <c r="F657" s="100">
        <f t="shared" si="55"/>
        <v>0</v>
      </c>
      <c r="G657" s="100">
        <f t="shared" si="55"/>
        <v>2880000</v>
      </c>
      <c r="H657" s="101" t="e">
        <f t="shared" si="54"/>
        <v>#VALUE!</v>
      </c>
      <c r="I657" s="101">
        <f t="shared" si="53"/>
        <v>-2880000</v>
      </c>
      <c r="J657" s="101">
        <f t="shared" si="54"/>
        <v>-100</v>
      </c>
    </row>
    <row r="658" spans="1:10" ht="20.100000000000001" customHeight="1">
      <c r="A658" s="111">
        <v>37</v>
      </c>
      <c r="B658" s="193" t="s">
        <v>1532</v>
      </c>
      <c r="C658" s="195" t="s">
        <v>849</v>
      </c>
      <c r="D658" s="197">
        <f>SUM(D660:D672)</f>
        <v>12702000</v>
      </c>
      <c r="E658" s="197">
        <f>'rekap REALISASI REKO '!AB636</f>
        <v>10587000</v>
      </c>
      <c r="F658" s="197">
        <f>D658-E658</f>
        <v>2115000</v>
      </c>
      <c r="G658" s="216">
        <f>'rekap REALISASI REKO '!AQ636</f>
        <v>10459450</v>
      </c>
      <c r="H658" s="214">
        <f>G658/E658*100</f>
        <v>98.795220553509026</v>
      </c>
      <c r="I658" s="214">
        <f>E658-G658</f>
        <v>127550</v>
      </c>
      <c r="J658" s="214">
        <f>I658/E658*100</f>
        <v>1.2047794464909796</v>
      </c>
    </row>
    <row r="659" spans="1:10" ht="5.25" customHeight="1">
      <c r="A659" s="112"/>
      <c r="B659" s="194"/>
      <c r="C659" s="196"/>
      <c r="D659" s="198"/>
      <c r="E659" s="198"/>
      <c r="F659" s="198"/>
      <c r="G659" s="217"/>
      <c r="H659" s="215"/>
      <c r="I659" s="215"/>
      <c r="J659" s="215"/>
    </row>
    <row r="660" spans="1:10" ht="20.100000000000001" hidden="1" customHeight="1">
      <c r="A660" s="97"/>
      <c r="B660" s="102" t="s">
        <v>1533</v>
      </c>
      <c r="C660" s="103" t="s">
        <v>10</v>
      </c>
      <c r="D660" s="104"/>
      <c r="E660" s="104">
        <v>1720000</v>
      </c>
      <c r="F660" s="100">
        <f t="shared" si="55"/>
        <v>-1720000</v>
      </c>
      <c r="G660" s="100">
        <f t="shared" si="55"/>
        <v>3440000</v>
      </c>
      <c r="H660" s="101" t="e">
        <f t="shared" si="54"/>
        <v>#VALUE!</v>
      </c>
      <c r="I660" s="101">
        <f t="shared" ref="I660:I673" si="56">F660-G660</f>
        <v>-5160000</v>
      </c>
      <c r="J660" s="101">
        <f t="shared" si="54"/>
        <v>-300</v>
      </c>
    </row>
    <row r="661" spans="1:10" ht="20.100000000000001" hidden="1" customHeight="1">
      <c r="A661" s="97"/>
      <c r="B661" s="102" t="s">
        <v>1534</v>
      </c>
      <c r="C661" s="103" t="s">
        <v>177</v>
      </c>
      <c r="D661" s="104"/>
      <c r="E661" s="104">
        <v>1720000</v>
      </c>
      <c r="F661" s="100">
        <f t="shared" si="55"/>
        <v>-1720000</v>
      </c>
      <c r="G661" s="100">
        <f t="shared" si="55"/>
        <v>3440000</v>
      </c>
      <c r="H661" s="101" t="e">
        <f t="shared" si="54"/>
        <v>#VALUE!</v>
      </c>
      <c r="I661" s="101">
        <f t="shared" si="56"/>
        <v>-5160000</v>
      </c>
      <c r="J661" s="101">
        <f t="shared" si="54"/>
        <v>-300</v>
      </c>
    </row>
    <row r="662" spans="1:10" ht="20.100000000000001" hidden="1" customHeight="1">
      <c r="A662" s="97"/>
      <c r="B662" s="102" t="s">
        <v>1535</v>
      </c>
      <c r="C662" s="103" t="s">
        <v>283</v>
      </c>
      <c r="D662" s="104">
        <v>1720000</v>
      </c>
      <c r="E662" s="104">
        <v>1720000</v>
      </c>
      <c r="F662" s="100">
        <f t="shared" si="55"/>
        <v>0</v>
      </c>
      <c r="G662" s="100">
        <f t="shared" si="55"/>
        <v>1720000</v>
      </c>
      <c r="H662" s="101" t="e">
        <f t="shared" si="54"/>
        <v>#VALUE!</v>
      </c>
      <c r="I662" s="101">
        <f t="shared" si="56"/>
        <v>-1720000</v>
      </c>
      <c r="J662" s="101">
        <f t="shared" si="54"/>
        <v>-100</v>
      </c>
    </row>
    <row r="663" spans="1:10" ht="20.100000000000001" hidden="1" customHeight="1">
      <c r="A663" s="97"/>
      <c r="B663" s="102" t="s">
        <v>1536</v>
      </c>
      <c r="C663" s="103" t="s">
        <v>143</v>
      </c>
      <c r="D663" s="104"/>
      <c r="E663" s="104">
        <v>10982000</v>
      </c>
      <c r="F663" s="100">
        <f t="shared" si="55"/>
        <v>-10982000</v>
      </c>
      <c r="G663" s="100">
        <f t="shared" si="55"/>
        <v>21964000</v>
      </c>
      <c r="H663" s="101" t="e">
        <f t="shared" si="54"/>
        <v>#VALUE!</v>
      </c>
      <c r="I663" s="101">
        <f t="shared" si="56"/>
        <v>-32946000</v>
      </c>
      <c r="J663" s="101">
        <f t="shared" si="54"/>
        <v>-300</v>
      </c>
    </row>
    <row r="664" spans="1:10" ht="20.100000000000001" hidden="1" customHeight="1">
      <c r="A664" s="97"/>
      <c r="B664" s="102" t="s">
        <v>1537</v>
      </c>
      <c r="C664" s="103" t="s">
        <v>145</v>
      </c>
      <c r="D664" s="104"/>
      <c r="E664" s="104">
        <v>3511000</v>
      </c>
      <c r="F664" s="100">
        <f t="shared" si="55"/>
        <v>-3511000</v>
      </c>
      <c r="G664" s="100">
        <f t="shared" si="55"/>
        <v>7022000</v>
      </c>
      <c r="H664" s="101" t="e">
        <f t="shared" si="54"/>
        <v>#VALUE!</v>
      </c>
      <c r="I664" s="101">
        <f t="shared" si="56"/>
        <v>-10533000</v>
      </c>
      <c r="J664" s="101">
        <f t="shared" si="54"/>
        <v>-300</v>
      </c>
    </row>
    <row r="665" spans="1:10" ht="20.100000000000001" hidden="1" customHeight="1">
      <c r="A665" s="97"/>
      <c r="B665" s="102" t="s">
        <v>1538</v>
      </c>
      <c r="C665" s="103" t="s">
        <v>147</v>
      </c>
      <c r="D665" s="104">
        <v>3511000</v>
      </c>
      <c r="E665" s="104">
        <v>3511000</v>
      </c>
      <c r="F665" s="100">
        <f t="shared" si="55"/>
        <v>0</v>
      </c>
      <c r="G665" s="100">
        <f t="shared" si="55"/>
        <v>3511000</v>
      </c>
      <c r="H665" s="101" t="e">
        <f t="shared" si="54"/>
        <v>#VALUE!</v>
      </c>
      <c r="I665" s="101">
        <f t="shared" si="56"/>
        <v>-3511000</v>
      </c>
      <c r="J665" s="101">
        <f t="shared" si="54"/>
        <v>-100</v>
      </c>
    </row>
    <row r="666" spans="1:10" ht="20.100000000000001" hidden="1" customHeight="1">
      <c r="A666" s="97"/>
      <c r="B666" s="102" t="s">
        <v>1539</v>
      </c>
      <c r="C666" s="103" t="s">
        <v>151</v>
      </c>
      <c r="D666" s="104"/>
      <c r="E666" s="104">
        <v>2190000</v>
      </c>
      <c r="F666" s="100">
        <f t="shared" si="55"/>
        <v>-2190000</v>
      </c>
      <c r="G666" s="100">
        <f t="shared" si="55"/>
        <v>4380000</v>
      </c>
      <c r="H666" s="101" t="e">
        <f t="shared" si="54"/>
        <v>#VALUE!</v>
      </c>
      <c r="I666" s="101">
        <f t="shared" si="56"/>
        <v>-6570000</v>
      </c>
      <c r="J666" s="101">
        <f t="shared" si="54"/>
        <v>-300</v>
      </c>
    </row>
    <row r="667" spans="1:10" ht="20.100000000000001" hidden="1" customHeight="1">
      <c r="A667" s="97"/>
      <c r="B667" s="102" t="s">
        <v>1540</v>
      </c>
      <c r="C667" s="103" t="s">
        <v>153</v>
      </c>
      <c r="D667" s="104">
        <v>74000</v>
      </c>
      <c r="E667" s="104">
        <v>74000</v>
      </c>
      <c r="F667" s="100">
        <f t="shared" si="55"/>
        <v>0</v>
      </c>
      <c r="G667" s="100">
        <f t="shared" si="55"/>
        <v>74000</v>
      </c>
      <c r="H667" s="101" t="e">
        <f t="shared" si="54"/>
        <v>#VALUE!</v>
      </c>
      <c r="I667" s="101">
        <f t="shared" si="56"/>
        <v>-74000</v>
      </c>
      <c r="J667" s="101">
        <f t="shared" si="54"/>
        <v>-100</v>
      </c>
    </row>
    <row r="668" spans="1:10" ht="20.100000000000001" hidden="1" customHeight="1">
      <c r="A668" s="97"/>
      <c r="B668" s="102" t="s">
        <v>1541</v>
      </c>
      <c r="C668" s="103" t="s">
        <v>155</v>
      </c>
      <c r="D668" s="104">
        <v>2116000</v>
      </c>
      <c r="E668" s="104">
        <v>2116000</v>
      </c>
      <c r="F668" s="100">
        <f t="shared" si="55"/>
        <v>0</v>
      </c>
      <c r="G668" s="100">
        <f t="shared" si="55"/>
        <v>2116000</v>
      </c>
      <c r="H668" s="101" t="e">
        <f t="shared" si="54"/>
        <v>#VALUE!</v>
      </c>
      <c r="I668" s="101">
        <f t="shared" si="56"/>
        <v>-2116000</v>
      </c>
      <c r="J668" s="101">
        <f t="shared" si="54"/>
        <v>-100</v>
      </c>
    </row>
    <row r="669" spans="1:10" ht="20.100000000000001" hidden="1" customHeight="1">
      <c r="A669" s="97"/>
      <c r="B669" s="102" t="s">
        <v>1542</v>
      </c>
      <c r="C669" s="103" t="s">
        <v>193</v>
      </c>
      <c r="D669" s="104"/>
      <c r="E669" s="104">
        <v>4131000</v>
      </c>
      <c r="F669" s="100">
        <f t="shared" si="55"/>
        <v>-4131000</v>
      </c>
      <c r="G669" s="100">
        <f t="shared" si="55"/>
        <v>8262000</v>
      </c>
      <c r="H669" s="101" t="e">
        <f t="shared" si="54"/>
        <v>#VALUE!</v>
      </c>
      <c r="I669" s="101">
        <f t="shared" si="56"/>
        <v>-12393000</v>
      </c>
      <c r="J669" s="101">
        <f t="shared" si="54"/>
        <v>-300</v>
      </c>
    </row>
    <row r="670" spans="1:10" ht="20.100000000000001" hidden="1" customHeight="1">
      <c r="A670" s="97"/>
      <c r="B670" s="102" t="s">
        <v>1543</v>
      </c>
      <c r="C670" s="103" t="s">
        <v>195</v>
      </c>
      <c r="D670" s="104">
        <v>4131000</v>
      </c>
      <c r="E670" s="104">
        <v>4131000</v>
      </c>
      <c r="F670" s="100">
        <f t="shared" si="55"/>
        <v>0</v>
      </c>
      <c r="G670" s="100">
        <f t="shared" si="55"/>
        <v>4131000</v>
      </c>
      <c r="H670" s="101" t="e">
        <f t="shared" si="54"/>
        <v>#VALUE!</v>
      </c>
      <c r="I670" s="101">
        <f t="shared" si="56"/>
        <v>-4131000</v>
      </c>
      <c r="J670" s="101">
        <f t="shared" si="54"/>
        <v>-100</v>
      </c>
    </row>
    <row r="671" spans="1:10" ht="20.100000000000001" hidden="1" customHeight="1">
      <c r="A671" s="97"/>
      <c r="B671" s="102" t="s">
        <v>1544</v>
      </c>
      <c r="C671" s="103" t="s">
        <v>157</v>
      </c>
      <c r="D671" s="104"/>
      <c r="E671" s="104">
        <v>1150000</v>
      </c>
      <c r="F671" s="100">
        <f t="shared" si="55"/>
        <v>-1150000</v>
      </c>
      <c r="G671" s="100">
        <f t="shared" si="55"/>
        <v>2300000</v>
      </c>
      <c r="H671" s="101" t="e">
        <f t="shared" si="54"/>
        <v>#VALUE!</v>
      </c>
      <c r="I671" s="101">
        <f t="shared" si="56"/>
        <v>-3450000</v>
      </c>
      <c r="J671" s="101">
        <f t="shared" si="54"/>
        <v>-300</v>
      </c>
    </row>
    <row r="672" spans="1:10" ht="20.100000000000001" hidden="1" customHeight="1">
      <c r="A672" s="97"/>
      <c r="B672" s="102" t="s">
        <v>1545</v>
      </c>
      <c r="C672" s="103" t="s">
        <v>159</v>
      </c>
      <c r="D672" s="104">
        <v>1150000</v>
      </c>
      <c r="E672" s="104">
        <v>1150000</v>
      </c>
      <c r="F672" s="100">
        <f t="shared" si="55"/>
        <v>0</v>
      </c>
      <c r="G672" s="100">
        <f t="shared" si="55"/>
        <v>1150000</v>
      </c>
      <c r="H672" s="101" t="e">
        <f t="shared" si="54"/>
        <v>#VALUE!</v>
      </c>
      <c r="I672" s="101">
        <f t="shared" si="56"/>
        <v>-1150000</v>
      </c>
      <c r="J672" s="101">
        <f t="shared" si="54"/>
        <v>-100</v>
      </c>
    </row>
    <row r="673" spans="1:10" ht="20.100000000000001" customHeight="1">
      <c r="A673" s="97"/>
      <c r="B673" s="114"/>
      <c r="C673" s="165" t="s">
        <v>64</v>
      </c>
      <c r="D673" s="99">
        <f>D34+D86+D118+D135+D152+D211+D344+D468+D490+D514+D604+D643</f>
        <v>5321184000</v>
      </c>
      <c r="E673" s="99">
        <f>E34+E86+E118+E135+E152+E211+E344+E468+E490+E514+E604+E643</f>
        <v>4537764000</v>
      </c>
      <c r="F673" s="100">
        <f t="shared" si="55"/>
        <v>783420000</v>
      </c>
      <c r="G673" s="100">
        <f t="shared" si="55"/>
        <v>3754344000</v>
      </c>
      <c r="H673" s="101">
        <f>G673/E673*100</f>
        <v>82.735549931640335</v>
      </c>
      <c r="I673" s="115">
        <f t="shared" si="56"/>
        <v>-2970924000</v>
      </c>
      <c r="J673" s="101">
        <f>I673/E673*100</f>
        <v>-65.471099863280685</v>
      </c>
    </row>
    <row r="674" spans="1:10" ht="20.100000000000001" customHeight="1">
      <c r="B674" s="116"/>
      <c r="D674" s="117"/>
    </row>
  </sheetData>
  <mergeCells count="341">
    <mergeCell ref="A6:A7"/>
    <mergeCell ref="B6:B7"/>
    <mergeCell ref="C6:C7"/>
    <mergeCell ref="D6:D7"/>
    <mergeCell ref="E6:E7"/>
    <mergeCell ref="F6:F7"/>
    <mergeCell ref="G5:J5"/>
    <mergeCell ref="I644:I645"/>
    <mergeCell ref="J644:J645"/>
    <mergeCell ref="J605:J606"/>
    <mergeCell ref="B618:B619"/>
    <mergeCell ref="C618:C619"/>
    <mergeCell ref="D618:D619"/>
    <mergeCell ref="E618:E619"/>
    <mergeCell ref="F618:F619"/>
    <mergeCell ref="G618:G619"/>
    <mergeCell ref="I618:I619"/>
    <mergeCell ref="J618:J619"/>
    <mergeCell ref="B605:B606"/>
    <mergeCell ref="C605:C606"/>
    <mergeCell ref="D605:D606"/>
    <mergeCell ref="E605:E606"/>
    <mergeCell ref="F605:F606"/>
    <mergeCell ref="G605:G606"/>
    <mergeCell ref="B658:B659"/>
    <mergeCell ref="C658:C659"/>
    <mergeCell ref="D658:D659"/>
    <mergeCell ref="E658:E659"/>
    <mergeCell ref="F658:F659"/>
    <mergeCell ref="G658:G659"/>
    <mergeCell ref="I658:I659"/>
    <mergeCell ref="J658:J659"/>
    <mergeCell ref="B644:B645"/>
    <mergeCell ref="C644:C645"/>
    <mergeCell ref="D644:D645"/>
    <mergeCell ref="E644:E645"/>
    <mergeCell ref="F644:F645"/>
    <mergeCell ref="G644:G645"/>
    <mergeCell ref="H644:H645"/>
    <mergeCell ref="H658:H659"/>
    <mergeCell ref="H605:H606"/>
    <mergeCell ref="H618:H619"/>
    <mergeCell ref="I605:I606"/>
    <mergeCell ref="I545:I546"/>
    <mergeCell ref="J545:J546"/>
    <mergeCell ref="B573:B574"/>
    <mergeCell ref="C573:C574"/>
    <mergeCell ref="D573:D574"/>
    <mergeCell ref="E573:E574"/>
    <mergeCell ref="F573:F574"/>
    <mergeCell ref="G573:G574"/>
    <mergeCell ref="I573:I574"/>
    <mergeCell ref="J573:J574"/>
    <mergeCell ref="B545:B546"/>
    <mergeCell ref="C545:C546"/>
    <mergeCell ref="D545:D546"/>
    <mergeCell ref="E545:E546"/>
    <mergeCell ref="F545:F546"/>
    <mergeCell ref="G545:G546"/>
    <mergeCell ref="H545:H546"/>
    <mergeCell ref="H573:H574"/>
    <mergeCell ref="I491:I492"/>
    <mergeCell ref="J491:J492"/>
    <mergeCell ref="B515:B516"/>
    <mergeCell ref="C515:C516"/>
    <mergeCell ref="D515:D516"/>
    <mergeCell ref="E515:E516"/>
    <mergeCell ref="F515:F516"/>
    <mergeCell ref="G515:G516"/>
    <mergeCell ref="I515:I516"/>
    <mergeCell ref="J515:J516"/>
    <mergeCell ref="B491:B492"/>
    <mergeCell ref="C491:C492"/>
    <mergeCell ref="D491:D492"/>
    <mergeCell ref="E491:E492"/>
    <mergeCell ref="F491:F492"/>
    <mergeCell ref="G491:G492"/>
    <mergeCell ref="H491:H492"/>
    <mergeCell ref="H515:H516"/>
    <mergeCell ref="I449:I450"/>
    <mergeCell ref="J449:J450"/>
    <mergeCell ref="B469:B470"/>
    <mergeCell ref="C469:C470"/>
    <mergeCell ref="D469:D470"/>
    <mergeCell ref="E469:E470"/>
    <mergeCell ref="F469:F470"/>
    <mergeCell ref="G469:G470"/>
    <mergeCell ref="I469:I470"/>
    <mergeCell ref="J469:J470"/>
    <mergeCell ref="B449:B450"/>
    <mergeCell ref="C449:C450"/>
    <mergeCell ref="D449:D450"/>
    <mergeCell ref="E449:E450"/>
    <mergeCell ref="F449:F450"/>
    <mergeCell ref="G449:G450"/>
    <mergeCell ref="H449:H450"/>
    <mergeCell ref="H469:H470"/>
    <mergeCell ref="I414:I415"/>
    <mergeCell ref="J414:J415"/>
    <mergeCell ref="B431:B432"/>
    <mergeCell ref="C431:C432"/>
    <mergeCell ref="D431:D432"/>
    <mergeCell ref="E431:E432"/>
    <mergeCell ref="F431:F432"/>
    <mergeCell ref="G431:G432"/>
    <mergeCell ref="I431:I432"/>
    <mergeCell ref="J431:J432"/>
    <mergeCell ref="B414:B415"/>
    <mergeCell ref="C414:C415"/>
    <mergeCell ref="D414:D415"/>
    <mergeCell ref="E414:E415"/>
    <mergeCell ref="F414:F415"/>
    <mergeCell ref="G414:G415"/>
    <mergeCell ref="H414:H415"/>
    <mergeCell ref="H431:H432"/>
    <mergeCell ref="I379:I380"/>
    <mergeCell ref="J379:J380"/>
    <mergeCell ref="B396:B397"/>
    <mergeCell ref="C396:C397"/>
    <mergeCell ref="D396:D397"/>
    <mergeCell ref="E396:E397"/>
    <mergeCell ref="F396:F397"/>
    <mergeCell ref="G396:G397"/>
    <mergeCell ref="I396:I397"/>
    <mergeCell ref="J396:J397"/>
    <mergeCell ref="B379:B380"/>
    <mergeCell ref="C379:C380"/>
    <mergeCell ref="D379:D380"/>
    <mergeCell ref="E379:E380"/>
    <mergeCell ref="F379:F380"/>
    <mergeCell ref="G379:G380"/>
    <mergeCell ref="H379:H380"/>
    <mergeCell ref="H396:H397"/>
    <mergeCell ref="I345:I346"/>
    <mergeCell ref="J345:J346"/>
    <mergeCell ref="B360:B361"/>
    <mergeCell ref="C360:C361"/>
    <mergeCell ref="D360:D361"/>
    <mergeCell ref="E360:E361"/>
    <mergeCell ref="F360:F361"/>
    <mergeCell ref="G360:G361"/>
    <mergeCell ref="I360:I361"/>
    <mergeCell ref="J360:J361"/>
    <mergeCell ref="B345:B346"/>
    <mergeCell ref="C345:C346"/>
    <mergeCell ref="D345:D346"/>
    <mergeCell ref="E345:E346"/>
    <mergeCell ref="F345:F346"/>
    <mergeCell ref="G345:G346"/>
    <mergeCell ref="H345:H346"/>
    <mergeCell ref="H360:H361"/>
    <mergeCell ref="I298:I299"/>
    <mergeCell ref="J298:J299"/>
    <mergeCell ref="B322:B323"/>
    <mergeCell ref="C322:C323"/>
    <mergeCell ref="D322:D323"/>
    <mergeCell ref="E322:E323"/>
    <mergeCell ref="F322:F323"/>
    <mergeCell ref="G322:G323"/>
    <mergeCell ref="I322:I323"/>
    <mergeCell ref="J322:J323"/>
    <mergeCell ref="B298:B299"/>
    <mergeCell ref="C298:C299"/>
    <mergeCell ref="D298:D299"/>
    <mergeCell ref="E298:E299"/>
    <mergeCell ref="F298:F299"/>
    <mergeCell ref="G298:G299"/>
    <mergeCell ref="H298:H299"/>
    <mergeCell ref="H322:H323"/>
    <mergeCell ref="I251:I252"/>
    <mergeCell ref="J251:J252"/>
    <mergeCell ref="B274:B275"/>
    <mergeCell ref="C274:C275"/>
    <mergeCell ref="D274:D275"/>
    <mergeCell ref="E274:E275"/>
    <mergeCell ref="F274:F275"/>
    <mergeCell ref="G274:G275"/>
    <mergeCell ref="I274:I275"/>
    <mergeCell ref="J274:J275"/>
    <mergeCell ref="B251:B252"/>
    <mergeCell ref="C251:C252"/>
    <mergeCell ref="D251:D252"/>
    <mergeCell ref="E251:E252"/>
    <mergeCell ref="F251:F252"/>
    <mergeCell ref="G251:G252"/>
    <mergeCell ref="H274:H275"/>
    <mergeCell ref="H251:H252"/>
    <mergeCell ref="I212:I213"/>
    <mergeCell ref="J212:J213"/>
    <mergeCell ref="B231:B232"/>
    <mergeCell ref="C231:C232"/>
    <mergeCell ref="D231:D232"/>
    <mergeCell ref="E231:E232"/>
    <mergeCell ref="F231:F232"/>
    <mergeCell ref="G231:G232"/>
    <mergeCell ref="I231:I232"/>
    <mergeCell ref="J231:J232"/>
    <mergeCell ref="B212:B213"/>
    <mergeCell ref="C212:C213"/>
    <mergeCell ref="D212:D213"/>
    <mergeCell ref="E212:E213"/>
    <mergeCell ref="F212:F213"/>
    <mergeCell ref="G212:G213"/>
    <mergeCell ref="H212:H213"/>
    <mergeCell ref="H231:H232"/>
    <mergeCell ref="I184:I185"/>
    <mergeCell ref="J184:J185"/>
    <mergeCell ref="B189:B190"/>
    <mergeCell ref="C189:C190"/>
    <mergeCell ref="D189:D190"/>
    <mergeCell ref="E189:E190"/>
    <mergeCell ref="F189:F190"/>
    <mergeCell ref="G189:G190"/>
    <mergeCell ref="I189:I190"/>
    <mergeCell ref="J189:J190"/>
    <mergeCell ref="B184:B185"/>
    <mergeCell ref="C184:C185"/>
    <mergeCell ref="D184:D185"/>
    <mergeCell ref="E184:E185"/>
    <mergeCell ref="F184:F185"/>
    <mergeCell ref="G184:G185"/>
    <mergeCell ref="H184:H185"/>
    <mergeCell ref="H189:H190"/>
    <mergeCell ref="I153:I154"/>
    <mergeCell ref="J153:J154"/>
    <mergeCell ref="B162:B163"/>
    <mergeCell ref="C162:C163"/>
    <mergeCell ref="D162:D163"/>
    <mergeCell ref="E162:E163"/>
    <mergeCell ref="F162:F163"/>
    <mergeCell ref="G162:G163"/>
    <mergeCell ref="I162:I163"/>
    <mergeCell ref="J162:J163"/>
    <mergeCell ref="B153:B154"/>
    <mergeCell ref="C153:C154"/>
    <mergeCell ref="D153:D154"/>
    <mergeCell ref="E153:E154"/>
    <mergeCell ref="F153:F154"/>
    <mergeCell ref="G153:G154"/>
    <mergeCell ref="H153:H154"/>
    <mergeCell ref="H162:H163"/>
    <mergeCell ref="I119:I120"/>
    <mergeCell ref="J119:J120"/>
    <mergeCell ref="B136:B137"/>
    <mergeCell ref="C136:C137"/>
    <mergeCell ref="D136:D137"/>
    <mergeCell ref="E136:E137"/>
    <mergeCell ref="F136:F137"/>
    <mergeCell ref="G136:G137"/>
    <mergeCell ref="I136:I137"/>
    <mergeCell ref="J136:J137"/>
    <mergeCell ref="B119:B120"/>
    <mergeCell ref="C119:C120"/>
    <mergeCell ref="D119:D120"/>
    <mergeCell ref="E119:E120"/>
    <mergeCell ref="F119:F120"/>
    <mergeCell ref="G119:G120"/>
    <mergeCell ref="H119:H120"/>
    <mergeCell ref="H136:H137"/>
    <mergeCell ref="I108:I109"/>
    <mergeCell ref="J108:J109"/>
    <mergeCell ref="B113:B114"/>
    <mergeCell ref="C113:C114"/>
    <mergeCell ref="D113:D114"/>
    <mergeCell ref="E113:E114"/>
    <mergeCell ref="F113:F114"/>
    <mergeCell ref="G113:G114"/>
    <mergeCell ref="I113:I114"/>
    <mergeCell ref="J113:J114"/>
    <mergeCell ref="B108:B109"/>
    <mergeCell ref="C108:C109"/>
    <mergeCell ref="D108:D109"/>
    <mergeCell ref="E108:E109"/>
    <mergeCell ref="F108:F109"/>
    <mergeCell ref="G108:G109"/>
    <mergeCell ref="H108:H109"/>
    <mergeCell ref="H113:H114"/>
    <mergeCell ref="I87:I88"/>
    <mergeCell ref="J87:J88"/>
    <mergeCell ref="B99:B100"/>
    <mergeCell ref="C99:C100"/>
    <mergeCell ref="D99:D100"/>
    <mergeCell ref="E99:E100"/>
    <mergeCell ref="F99:F100"/>
    <mergeCell ref="G99:G100"/>
    <mergeCell ref="I99:I100"/>
    <mergeCell ref="J99:J100"/>
    <mergeCell ref="B87:B88"/>
    <mergeCell ref="C87:C88"/>
    <mergeCell ref="D87:D88"/>
    <mergeCell ref="E87:E88"/>
    <mergeCell ref="F87:F88"/>
    <mergeCell ref="G87:G88"/>
    <mergeCell ref="H87:H88"/>
    <mergeCell ref="H99:H100"/>
    <mergeCell ref="I66:I67"/>
    <mergeCell ref="J66:J67"/>
    <mergeCell ref="B75:B76"/>
    <mergeCell ref="C75:C76"/>
    <mergeCell ref="D75:D76"/>
    <mergeCell ref="E75:E76"/>
    <mergeCell ref="F75:F76"/>
    <mergeCell ref="G75:G76"/>
    <mergeCell ref="I75:I76"/>
    <mergeCell ref="J75:J76"/>
    <mergeCell ref="B66:B67"/>
    <mergeCell ref="C66:C67"/>
    <mergeCell ref="D66:D67"/>
    <mergeCell ref="E66:E67"/>
    <mergeCell ref="F66:F67"/>
    <mergeCell ref="G66:G67"/>
    <mergeCell ref="H66:H67"/>
    <mergeCell ref="H75:H76"/>
    <mergeCell ref="I43:I44"/>
    <mergeCell ref="J43:J44"/>
    <mergeCell ref="B52:B53"/>
    <mergeCell ref="C52:C53"/>
    <mergeCell ref="D52:D53"/>
    <mergeCell ref="E52:E53"/>
    <mergeCell ref="F52:F53"/>
    <mergeCell ref="G52:G53"/>
    <mergeCell ref="I52:I53"/>
    <mergeCell ref="J52:J53"/>
    <mergeCell ref="B43:B44"/>
    <mergeCell ref="C43:C44"/>
    <mergeCell ref="D43:D44"/>
    <mergeCell ref="E43:E44"/>
    <mergeCell ref="F43:F44"/>
    <mergeCell ref="G43:G44"/>
    <mergeCell ref="H43:H44"/>
    <mergeCell ref="H52:H53"/>
    <mergeCell ref="B4:J4"/>
    <mergeCell ref="B35:B36"/>
    <mergeCell ref="C35:C36"/>
    <mergeCell ref="D35:D36"/>
    <mergeCell ref="E35:E36"/>
    <mergeCell ref="F35:F36"/>
    <mergeCell ref="G35:G36"/>
    <mergeCell ref="I35:I36"/>
    <mergeCell ref="J35:J36"/>
    <mergeCell ref="H35:H36"/>
  </mergeCells>
  <pageMargins left="0.31496062992125984" right="0.11811023622047245" top="0.15748031496062992" bottom="0.74803149606299213" header="0.31496062992125984" footer="0.31496062992125984"/>
  <pageSetup paperSize="258" scale="85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FF00"/>
  </sheetPr>
  <dimension ref="A1:F99"/>
  <sheetViews>
    <sheetView topLeftCell="A25" zoomScaleSheetLayoutView="100" workbookViewId="0">
      <selection activeCell="E13" sqref="E13"/>
    </sheetView>
  </sheetViews>
  <sheetFormatPr defaultRowHeight="11.25"/>
  <cols>
    <col min="1" max="1" width="3.140625" style="4" customWidth="1"/>
    <col min="2" max="2" width="23.140625" style="4" customWidth="1"/>
    <col min="3" max="3" width="16.5703125" style="4" customWidth="1"/>
    <col min="4" max="4" width="21.140625" style="4" customWidth="1"/>
    <col min="5" max="5" width="19.140625" style="4" customWidth="1"/>
    <col min="6" max="6" width="19.85546875" style="4" customWidth="1"/>
    <col min="7" max="16384" width="9.140625" style="4"/>
  </cols>
  <sheetData>
    <row r="1" spans="1:6" ht="12" thickBot="1"/>
    <row r="2" spans="1:6" ht="16.5" customHeight="1">
      <c r="A2" s="1" t="s">
        <v>40</v>
      </c>
      <c r="B2" s="2"/>
      <c r="C2" s="2"/>
      <c r="D2" s="2"/>
      <c r="E2" s="138"/>
      <c r="F2" s="3"/>
    </row>
    <row r="3" spans="1:6" ht="3" customHeight="1">
      <c r="A3" s="5"/>
      <c r="B3" s="6"/>
      <c r="C3" s="6"/>
      <c r="D3" s="6"/>
      <c r="E3" s="139"/>
      <c r="F3" s="7"/>
    </row>
    <row r="4" spans="1:6" ht="20.100000000000001" customHeight="1">
      <c r="A4" s="8">
        <v>1</v>
      </c>
      <c r="B4" s="9" t="s">
        <v>41</v>
      </c>
      <c r="C4" s="9"/>
      <c r="D4" s="9"/>
      <c r="E4" s="10"/>
      <c r="F4" s="7"/>
    </row>
    <row r="5" spans="1:6" ht="20.100000000000001" customHeight="1">
      <c r="A5" s="8"/>
      <c r="B5" s="10"/>
      <c r="C5" s="11" t="s">
        <v>42</v>
      </c>
      <c r="D5" s="26">
        <v>170500000</v>
      </c>
      <c r="E5" s="140"/>
      <c r="F5" s="7"/>
    </row>
    <row r="6" spans="1:6" ht="20.100000000000001" customHeight="1">
      <c r="A6" s="12"/>
      <c r="B6" s="10"/>
      <c r="C6" s="136" t="s">
        <v>43</v>
      </c>
      <c r="D6" s="27">
        <v>33000000</v>
      </c>
      <c r="E6" s="141"/>
      <c r="F6" s="7"/>
    </row>
    <row r="7" spans="1:6" ht="20.100000000000001" customHeight="1">
      <c r="A7" s="12"/>
      <c r="B7" s="10"/>
      <c r="C7" s="136" t="s">
        <v>1576</v>
      </c>
      <c r="D7" s="23">
        <f>D6-D5</f>
        <v>-137500000</v>
      </c>
      <c r="E7" s="142"/>
      <c r="F7" s="7"/>
    </row>
    <row r="8" spans="1:6" ht="20.100000000000001" customHeight="1">
      <c r="A8" s="12"/>
      <c r="B8" s="223" t="s">
        <v>1577</v>
      </c>
      <c r="C8" s="223"/>
      <c r="D8" s="223"/>
      <c r="E8" s="223"/>
      <c r="F8" s="224"/>
    </row>
    <row r="9" spans="1:6" ht="20.100000000000001" customHeight="1">
      <c r="A9" s="12"/>
      <c r="B9" s="225" t="s">
        <v>1578</v>
      </c>
      <c r="C9" s="225"/>
      <c r="D9" s="225"/>
      <c r="E9" s="225"/>
      <c r="F9" s="226"/>
    </row>
    <row r="10" spans="1:6" ht="20.100000000000001" customHeight="1">
      <c r="A10" s="12"/>
      <c r="B10" s="227" t="s">
        <v>1579</v>
      </c>
      <c r="C10" s="227"/>
      <c r="D10" s="227"/>
      <c r="E10" s="227"/>
      <c r="F10" s="228"/>
    </row>
    <row r="11" spans="1:6" ht="20.100000000000001" customHeight="1">
      <c r="A11" s="15">
        <v>2</v>
      </c>
      <c r="B11" s="13" t="s">
        <v>37</v>
      </c>
      <c r="C11" s="13"/>
      <c r="D11" s="13"/>
      <c r="E11" s="13"/>
      <c r="F11" s="7"/>
    </row>
    <row r="12" spans="1:6" ht="20.100000000000001" customHeight="1">
      <c r="A12" s="16"/>
      <c r="B12" s="13" t="s">
        <v>45</v>
      </c>
      <c r="C12" s="13"/>
      <c r="D12" s="13"/>
      <c r="E12" s="13"/>
      <c r="F12" s="7"/>
    </row>
    <row r="13" spans="1:6" ht="20.100000000000001" customHeight="1">
      <c r="A13" s="16"/>
      <c r="B13" s="136" t="s">
        <v>13</v>
      </c>
      <c r="C13" s="136"/>
      <c r="D13" s="13"/>
      <c r="E13" s="13"/>
      <c r="F13" s="7"/>
    </row>
    <row r="14" spans="1:6" ht="20.100000000000001" customHeight="1">
      <c r="A14" s="16"/>
      <c r="B14" s="136"/>
      <c r="C14" s="136" t="s">
        <v>44</v>
      </c>
      <c r="D14" s="24">
        <v>66</v>
      </c>
      <c r="E14" s="13" t="s">
        <v>14</v>
      </c>
      <c r="F14" s="7"/>
    </row>
    <row r="15" spans="1:6" ht="20.100000000000001" customHeight="1">
      <c r="A15" s="16"/>
      <c r="B15" s="10"/>
      <c r="C15" s="136" t="s">
        <v>15</v>
      </c>
      <c r="D15" s="24">
        <v>49</v>
      </c>
      <c r="E15" s="13" t="s">
        <v>16</v>
      </c>
      <c r="F15" s="7"/>
    </row>
    <row r="16" spans="1:6" ht="20.100000000000001" customHeight="1">
      <c r="A16" s="16"/>
      <c r="B16" s="10"/>
      <c r="C16" s="136" t="s">
        <v>17</v>
      </c>
      <c r="D16" s="25">
        <v>61</v>
      </c>
      <c r="E16" s="13" t="s">
        <v>16</v>
      </c>
      <c r="F16" s="7"/>
    </row>
    <row r="17" spans="1:6" ht="20.100000000000001" customHeight="1">
      <c r="A17" s="16"/>
      <c r="B17" s="13"/>
      <c r="C17" s="136" t="s">
        <v>31</v>
      </c>
      <c r="D17" s="24">
        <f>SUM(D13:D16)</f>
        <v>176</v>
      </c>
      <c r="E17" s="13" t="s">
        <v>16</v>
      </c>
      <c r="F17" s="7"/>
    </row>
    <row r="18" spans="1:6" ht="20.100000000000001" customHeight="1">
      <c r="A18" s="16"/>
      <c r="B18" s="229" t="s">
        <v>18</v>
      </c>
      <c r="C18" s="229"/>
      <c r="D18" s="150" t="s">
        <v>1563</v>
      </c>
      <c r="E18" s="150" t="s">
        <v>1564</v>
      </c>
      <c r="F18" s="158" t="s">
        <v>1565</v>
      </c>
    </row>
    <row r="19" spans="1:6" ht="20.100000000000001" customHeight="1">
      <c r="A19" s="16"/>
      <c r="B19" s="229" t="s">
        <v>29</v>
      </c>
      <c r="C19" s="232"/>
      <c r="D19" s="151">
        <v>6341834000</v>
      </c>
      <c r="E19" s="162">
        <v>6048349000</v>
      </c>
      <c r="F19" s="158">
        <f>D19-E19</f>
        <v>293485000</v>
      </c>
    </row>
    <row r="20" spans="1:6" ht="20.100000000000001" customHeight="1">
      <c r="A20" s="5"/>
      <c r="B20" s="14"/>
      <c r="C20" s="14"/>
      <c r="D20" s="17"/>
      <c r="E20" s="143"/>
      <c r="F20" s="137"/>
    </row>
    <row r="21" spans="1:6" ht="30" customHeight="1">
      <c r="A21" s="161">
        <v>3</v>
      </c>
      <c r="B21" s="233" t="s">
        <v>1567</v>
      </c>
      <c r="C21" s="234"/>
      <c r="D21" s="150" t="s">
        <v>1563</v>
      </c>
      <c r="E21" s="150" t="s">
        <v>1564</v>
      </c>
      <c r="F21" s="159" t="s">
        <v>1565</v>
      </c>
    </row>
    <row r="22" spans="1:6" ht="20.100000000000001" customHeight="1">
      <c r="A22" s="145"/>
      <c r="B22" s="10"/>
      <c r="C22" s="10"/>
      <c r="D22" s="152" t="s">
        <v>46</v>
      </c>
      <c r="E22" s="152" t="s">
        <v>46</v>
      </c>
      <c r="F22" s="160">
        <v>0</v>
      </c>
    </row>
    <row r="23" spans="1:6" ht="20.100000000000001" customHeight="1">
      <c r="A23" s="5"/>
      <c r="B23" s="18"/>
      <c r="C23" s="18"/>
      <c r="D23" s="153" t="s">
        <v>47</v>
      </c>
      <c r="E23" s="153" t="s">
        <v>1562</v>
      </c>
      <c r="F23" s="159">
        <v>-1</v>
      </c>
    </row>
    <row r="24" spans="1:6" ht="20.100000000000001" customHeight="1">
      <c r="A24" s="5"/>
      <c r="B24" s="10"/>
      <c r="C24" s="14" t="s">
        <v>1566</v>
      </c>
      <c r="D24" s="154">
        <v>5321184000</v>
      </c>
      <c r="E24" s="163">
        <v>5229995000</v>
      </c>
      <c r="F24" s="159">
        <f>D24-E24</f>
        <v>91189000</v>
      </c>
    </row>
    <row r="25" spans="1:6" ht="21" customHeight="1">
      <c r="A25" s="235" t="s">
        <v>1570</v>
      </c>
      <c r="B25" s="236"/>
      <c r="C25" s="236"/>
      <c r="D25" s="236"/>
      <c r="E25" s="144"/>
      <c r="F25" s="137"/>
    </row>
    <row r="26" spans="1:6" ht="36.75" customHeight="1">
      <c r="A26" s="20"/>
      <c r="B26" s="230" t="s">
        <v>1571</v>
      </c>
      <c r="C26" s="231"/>
      <c r="D26" s="150" t="s">
        <v>1563</v>
      </c>
      <c r="E26" s="150" t="s">
        <v>1564</v>
      </c>
      <c r="F26" s="159" t="s">
        <v>1565</v>
      </c>
    </row>
    <row r="27" spans="1:6" ht="25.5" customHeight="1">
      <c r="A27" s="145"/>
      <c r="B27" s="221" t="s">
        <v>1569</v>
      </c>
      <c r="C27" s="222"/>
      <c r="D27" s="155">
        <f>D24+D19</f>
        <v>11663018000</v>
      </c>
      <c r="E27" s="155">
        <f>E24+E19</f>
        <v>11278344000</v>
      </c>
      <c r="F27" s="159">
        <f>D27-E27</f>
        <v>384674000</v>
      </c>
    </row>
    <row r="28" spans="1:6" ht="15">
      <c r="A28" s="20"/>
      <c r="B28" s="21"/>
      <c r="C28" s="21"/>
      <c r="D28" s="21"/>
      <c r="E28" s="146"/>
      <c r="F28" s="7"/>
    </row>
    <row r="29" spans="1:6" ht="20.100000000000001" customHeight="1">
      <c r="A29" s="20"/>
      <c r="B29" s="156" t="s">
        <v>1568</v>
      </c>
      <c r="C29" s="21"/>
      <c r="D29" s="21"/>
      <c r="E29" s="146"/>
      <c r="F29" s="7"/>
    </row>
    <row r="30" spans="1:6" ht="20.100000000000001" customHeight="1">
      <c r="A30" s="147"/>
      <c r="B30" s="157" t="s">
        <v>1556</v>
      </c>
      <c r="C30" s="21"/>
      <c r="D30" s="21"/>
      <c r="E30" s="21"/>
      <c r="F30" s="137"/>
    </row>
    <row r="31" spans="1:6" ht="20.100000000000001" customHeight="1">
      <c r="A31" s="147">
        <v>1</v>
      </c>
      <c r="B31" s="21" t="s">
        <v>1260</v>
      </c>
      <c r="C31" s="21"/>
      <c r="D31" s="21"/>
      <c r="E31" s="21"/>
      <c r="F31" s="137"/>
    </row>
    <row r="32" spans="1:6" ht="20.100000000000001" customHeight="1">
      <c r="A32" s="147">
        <v>2</v>
      </c>
      <c r="B32" s="21" t="s">
        <v>1557</v>
      </c>
      <c r="C32" s="21"/>
      <c r="D32" s="21"/>
      <c r="E32" s="21"/>
      <c r="F32" s="137"/>
    </row>
    <row r="33" spans="1:6" ht="20.100000000000001" customHeight="1">
      <c r="A33" s="147">
        <v>3</v>
      </c>
      <c r="B33" s="21" t="s">
        <v>1519</v>
      </c>
      <c r="C33" s="21"/>
      <c r="D33" s="21"/>
      <c r="E33" s="21"/>
      <c r="F33" s="137"/>
    </row>
    <row r="34" spans="1:6" ht="20.100000000000001" customHeight="1">
      <c r="A34" s="147"/>
      <c r="B34" s="21"/>
      <c r="C34" s="21"/>
      <c r="D34" s="21"/>
      <c r="E34" s="21"/>
      <c r="F34" s="137"/>
    </row>
    <row r="35" spans="1:6" ht="20.100000000000001" customHeight="1">
      <c r="A35" s="147"/>
      <c r="B35" s="157" t="s">
        <v>1558</v>
      </c>
      <c r="C35" s="21"/>
      <c r="D35" s="21"/>
      <c r="E35" s="21"/>
      <c r="F35" s="137"/>
    </row>
    <row r="36" spans="1:6" ht="20.100000000000001" customHeight="1">
      <c r="A36" s="147">
        <v>1</v>
      </c>
      <c r="B36" s="21" t="s">
        <v>1559</v>
      </c>
      <c r="C36" s="21"/>
      <c r="D36" s="21"/>
      <c r="E36" s="21"/>
      <c r="F36" s="137"/>
    </row>
    <row r="37" spans="1:6" ht="20.100000000000001" customHeight="1">
      <c r="A37" s="147">
        <v>2</v>
      </c>
      <c r="B37" s="21" t="s">
        <v>1560</v>
      </c>
      <c r="C37" s="21"/>
      <c r="D37" s="21"/>
      <c r="E37" s="21"/>
      <c r="F37" s="137"/>
    </row>
    <row r="38" spans="1:6" ht="20.100000000000001" customHeight="1">
      <c r="A38" s="147">
        <v>3</v>
      </c>
      <c r="B38" s="21" t="s">
        <v>666</v>
      </c>
      <c r="C38" s="21"/>
      <c r="D38" s="21"/>
      <c r="E38" s="21"/>
      <c r="F38" s="137"/>
    </row>
    <row r="39" spans="1:6" ht="20.100000000000001" customHeight="1">
      <c r="A39" s="147">
        <v>4</v>
      </c>
      <c r="B39" s="21" t="s">
        <v>1561</v>
      </c>
      <c r="C39" s="21"/>
      <c r="D39" s="21"/>
      <c r="E39" s="21"/>
      <c r="F39" s="137"/>
    </row>
    <row r="40" spans="1:6" ht="20.100000000000001" customHeight="1">
      <c r="A40" s="147"/>
      <c r="B40" s="21"/>
      <c r="C40" s="21"/>
      <c r="D40" s="21"/>
      <c r="E40" s="21"/>
      <c r="F40" s="137"/>
    </row>
    <row r="41" spans="1:6" ht="13.5" thickBot="1">
      <c r="A41" s="148"/>
      <c r="B41" s="149"/>
      <c r="C41" s="149"/>
      <c r="D41" s="149"/>
      <c r="E41" s="149"/>
      <c r="F41" s="22"/>
    </row>
    <row r="42" spans="1:6" ht="12.75">
      <c r="A42" s="19"/>
      <c r="B42" s="19"/>
      <c r="C42" s="19"/>
      <c r="D42" s="19"/>
      <c r="E42" s="19"/>
    </row>
    <row r="43" spans="1:6" ht="12.75">
      <c r="A43" s="19"/>
      <c r="B43" s="19"/>
      <c r="C43" s="19"/>
      <c r="D43" s="19"/>
      <c r="E43" s="19"/>
    </row>
    <row r="44" spans="1:6" ht="12.75" customHeight="1">
      <c r="A44" s="19"/>
      <c r="B44" s="19"/>
      <c r="C44" s="19"/>
      <c r="D44" s="19"/>
      <c r="E44" s="19"/>
    </row>
    <row r="45" spans="1:6" ht="12.75">
      <c r="A45" s="19"/>
      <c r="B45" s="19"/>
      <c r="C45" s="19"/>
      <c r="D45" s="19"/>
      <c r="E45" s="19"/>
    </row>
    <row r="46" spans="1:6" ht="12.75">
      <c r="A46" s="19"/>
      <c r="B46" s="19"/>
      <c r="C46" s="19"/>
      <c r="D46" s="19"/>
      <c r="E46" s="19"/>
    </row>
    <row r="47" spans="1:6" ht="12.75">
      <c r="A47" s="19"/>
      <c r="B47" s="19"/>
      <c r="C47" s="19"/>
      <c r="D47" s="19"/>
      <c r="E47" s="19"/>
    </row>
    <row r="48" spans="1:6" ht="12.75" customHeight="1">
      <c r="A48" s="19"/>
      <c r="B48" s="19"/>
      <c r="C48" s="19"/>
      <c r="D48" s="19"/>
      <c r="E48" s="19"/>
    </row>
    <row r="49" spans="1:5" ht="12.75">
      <c r="A49" s="19"/>
      <c r="B49" s="19"/>
      <c r="C49" s="19"/>
      <c r="D49" s="19"/>
      <c r="E49" s="19"/>
    </row>
    <row r="50" spans="1:5" ht="12.75">
      <c r="A50" s="19"/>
      <c r="B50" s="19"/>
      <c r="C50" s="19"/>
      <c r="D50" s="19"/>
      <c r="E50" s="19"/>
    </row>
    <row r="51" spans="1:5" ht="12.75">
      <c r="A51" s="19"/>
      <c r="B51" s="19"/>
      <c r="C51" s="19"/>
      <c r="D51" s="19"/>
      <c r="E51" s="19"/>
    </row>
    <row r="52" spans="1:5" ht="12.75">
      <c r="A52" s="19"/>
      <c r="B52" s="19"/>
      <c r="C52" s="19"/>
      <c r="D52" s="19"/>
      <c r="E52" s="19"/>
    </row>
    <row r="53" spans="1:5" ht="12.75">
      <c r="A53" s="19"/>
      <c r="B53" s="19"/>
      <c r="C53" s="19"/>
      <c r="D53" s="19"/>
      <c r="E53" s="19"/>
    </row>
    <row r="54" spans="1:5" ht="12.75">
      <c r="A54" s="19"/>
      <c r="B54" s="19"/>
      <c r="C54" s="19"/>
      <c r="D54" s="19"/>
      <c r="E54" s="19"/>
    </row>
    <row r="55" spans="1:5" ht="12.75">
      <c r="A55" s="19"/>
      <c r="B55" s="19"/>
      <c r="C55" s="19"/>
      <c r="D55" s="19"/>
      <c r="E55" s="19"/>
    </row>
    <row r="56" spans="1:5" ht="12.75">
      <c r="A56" s="19"/>
      <c r="B56" s="19"/>
      <c r="C56" s="19"/>
      <c r="D56" s="19"/>
      <c r="E56" s="19"/>
    </row>
    <row r="57" spans="1:5" ht="12.75">
      <c r="A57" s="19"/>
      <c r="B57" s="19"/>
      <c r="C57" s="19"/>
      <c r="D57" s="19"/>
      <c r="E57" s="19"/>
    </row>
    <row r="58" spans="1:5" ht="12.75">
      <c r="A58" s="19"/>
      <c r="B58" s="19"/>
      <c r="C58" s="19"/>
      <c r="D58" s="19"/>
      <c r="E58" s="19"/>
    </row>
    <row r="59" spans="1:5" ht="12.75">
      <c r="A59" s="19"/>
      <c r="B59" s="19"/>
      <c r="C59" s="19"/>
      <c r="D59" s="19"/>
      <c r="E59" s="19"/>
    </row>
    <row r="60" spans="1:5" ht="12.75">
      <c r="A60" s="19"/>
      <c r="B60" s="19"/>
      <c r="C60" s="19"/>
      <c r="D60" s="19"/>
      <c r="E60" s="19"/>
    </row>
    <row r="61" spans="1:5" ht="12.75">
      <c r="A61" s="19"/>
      <c r="B61" s="19"/>
      <c r="C61" s="19"/>
      <c r="D61" s="19"/>
      <c r="E61" s="19"/>
    </row>
    <row r="62" spans="1:5" ht="12.75">
      <c r="A62" s="19"/>
      <c r="B62" s="19"/>
      <c r="C62" s="19"/>
      <c r="D62" s="19"/>
      <c r="E62" s="19"/>
    </row>
    <row r="63" spans="1:5" ht="12.75">
      <c r="A63" s="19"/>
      <c r="B63" s="19"/>
      <c r="C63" s="19"/>
      <c r="D63" s="19"/>
      <c r="E63" s="19"/>
    </row>
    <row r="64" spans="1:5" ht="12.75">
      <c r="A64" s="19"/>
      <c r="B64" s="19"/>
      <c r="C64" s="19"/>
      <c r="D64" s="19"/>
      <c r="E64" s="19"/>
    </row>
    <row r="65" spans="1:5" ht="12.75">
      <c r="A65" s="19"/>
      <c r="B65" s="19"/>
      <c r="C65" s="19"/>
      <c r="D65" s="19"/>
      <c r="E65" s="19"/>
    </row>
    <row r="66" spans="1:5" ht="12.75">
      <c r="A66" s="19"/>
      <c r="B66" s="19"/>
      <c r="C66" s="19"/>
      <c r="D66" s="19"/>
      <c r="E66" s="19"/>
    </row>
    <row r="67" spans="1:5" ht="12.75">
      <c r="A67" s="19"/>
      <c r="B67" s="19"/>
      <c r="C67" s="19"/>
      <c r="D67" s="19"/>
      <c r="E67" s="19"/>
    </row>
    <row r="68" spans="1:5" ht="12.75">
      <c r="A68" s="19"/>
      <c r="B68" s="19"/>
      <c r="C68" s="19"/>
      <c r="D68" s="19"/>
      <c r="E68" s="19"/>
    </row>
    <row r="69" spans="1:5" ht="12.75">
      <c r="A69" s="19"/>
      <c r="B69" s="19"/>
      <c r="C69" s="19"/>
      <c r="D69" s="19"/>
      <c r="E69" s="19"/>
    </row>
    <row r="70" spans="1:5" ht="12.75">
      <c r="A70" s="19"/>
      <c r="B70" s="19"/>
      <c r="C70" s="19"/>
      <c r="D70" s="19"/>
      <c r="E70" s="19"/>
    </row>
    <row r="71" spans="1:5" ht="12.75">
      <c r="A71" s="19"/>
      <c r="B71" s="19"/>
      <c r="C71" s="19"/>
      <c r="D71" s="19"/>
      <c r="E71" s="19"/>
    </row>
    <row r="72" spans="1:5" ht="12.75">
      <c r="A72" s="19"/>
      <c r="B72" s="19"/>
      <c r="C72" s="19"/>
      <c r="D72" s="19"/>
      <c r="E72" s="19"/>
    </row>
    <row r="73" spans="1:5" ht="12.75">
      <c r="A73" s="19"/>
      <c r="B73" s="19"/>
      <c r="C73" s="19"/>
      <c r="D73" s="19"/>
      <c r="E73" s="19"/>
    </row>
    <row r="74" spans="1:5" ht="12.75">
      <c r="A74" s="19"/>
      <c r="B74" s="19"/>
      <c r="C74" s="19"/>
      <c r="D74" s="19"/>
      <c r="E74" s="19"/>
    </row>
    <row r="75" spans="1:5" ht="12.75">
      <c r="A75" s="19"/>
      <c r="B75" s="19"/>
      <c r="C75" s="19"/>
      <c r="D75" s="19"/>
      <c r="E75" s="19"/>
    </row>
    <row r="76" spans="1:5" ht="12.75">
      <c r="A76" s="19"/>
      <c r="B76" s="19"/>
      <c r="C76" s="19"/>
      <c r="D76" s="19"/>
      <c r="E76" s="19"/>
    </row>
    <row r="77" spans="1:5" ht="12.75">
      <c r="A77" s="19"/>
      <c r="B77" s="19"/>
      <c r="C77" s="19"/>
      <c r="D77" s="19"/>
      <c r="E77" s="19"/>
    </row>
    <row r="78" spans="1:5" ht="12.75">
      <c r="A78" s="19"/>
      <c r="B78" s="19"/>
      <c r="C78" s="19"/>
      <c r="D78" s="19"/>
      <c r="E78" s="19"/>
    </row>
    <row r="79" spans="1:5" ht="12.75">
      <c r="A79" s="19"/>
      <c r="B79" s="19"/>
      <c r="C79" s="19"/>
      <c r="D79" s="19"/>
      <c r="E79" s="19"/>
    </row>
    <row r="80" spans="1:5" ht="12.75">
      <c r="A80" s="19"/>
      <c r="B80" s="19"/>
      <c r="C80" s="19"/>
      <c r="D80" s="19"/>
      <c r="E80" s="19"/>
    </row>
    <row r="81" spans="1:5" ht="12.75">
      <c r="A81" s="19"/>
      <c r="B81" s="19"/>
      <c r="C81" s="19"/>
      <c r="D81" s="19"/>
      <c r="E81" s="19"/>
    </row>
    <row r="82" spans="1:5" ht="12.75">
      <c r="A82" s="19"/>
      <c r="B82" s="19"/>
      <c r="C82" s="19"/>
      <c r="D82" s="19"/>
      <c r="E82" s="19"/>
    </row>
    <row r="83" spans="1:5" ht="12.75">
      <c r="A83" s="19"/>
      <c r="B83" s="19"/>
      <c r="C83" s="19"/>
      <c r="D83" s="19"/>
      <c r="E83" s="19"/>
    </row>
    <row r="84" spans="1:5" ht="12.75">
      <c r="A84" s="19"/>
      <c r="B84" s="19"/>
      <c r="C84" s="19"/>
      <c r="D84" s="19"/>
      <c r="E84" s="19"/>
    </row>
    <row r="85" spans="1:5" ht="12.75">
      <c r="A85" s="19"/>
      <c r="B85" s="19"/>
      <c r="C85" s="19"/>
      <c r="D85" s="19"/>
      <c r="E85" s="19"/>
    </row>
    <row r="86" spans="1:5" ht="12.75">
      <c r="A86" s="19"/>
      <c r="B86" s="19"/>
      <c r="C86" s="19"/>
      <c r="D86" s="19"/>
      <c r="E86" s="19"/>
    </row>
    <row r="87" spans="1:5" ht="12.75">
      <c r="A87" s="19"/>
      <c r="B87" s="19"/>
      <c r="C87" s="19"/>
      <c r="D87" s="19"/>
      <c r="E87" s="19"/>
    </row>
    <row r="88" spans="1:5" ht="12.75">
      <c r="A88" s="19"/>
      <c r="B88" s="19"/>
      <c r="C88" s="19"/>
      <c r="D88" s="19"/>
      <c r="E88" s="19"/>
    </row>
    <row r="89" spans="1:5" ht="12.75">
      <c r="A89" s="19"/>
      <c r="B89" s="19"/>
      <c r="C89" s="19"/>
      <c r="D89" s="19"/>
      <c r="E89" s="19"/>
    </row>
    <row r="90" spans="1:5" ht="12.75">
      <c r="A90" s="19"/>
      <c r="B90" s="19"/>
      <c r="C90" s="19"/>
      <c r="D90" s="19"/>
      <c r="E90" s="19"/>
    </row>
    <row r="91" spans="1:5" ht="12.75">
      <c r="A91" s="19"/>
      <c r="B91" s="19"/>
      <c r="C91" s="19"/>
      <c r="D91" s="19"/>
      <c r="E91" s="19"/>
    </row>
    <row r="92" spans="1:5" ht="12.75">
      <c r="A92" s="19"/>
      <c r="B92" s="19"/>
      <c r="C92" s="19"/>
      <c r="D92" s="19"/>
      <c r="E92" s="19"/>
    </row>
    <row r="93" spans="1:5" ht="12.75">
      <c r="A93" s="19"/>
      <c r="B93" s="19"/>
      <c r="C93" s="19"/>
      <c r="D93" s="19"/>
      <c r="E93" s="19"/>
    </row>
    <row r="94" spans="1:5" ht="12.75">
      <c r="A94" s="19"/>
      <c r="B94" s="19"/>
      <c r="C94" s="19"/>
      <c r="D94" s="19"/>
      <c r="E94" s="19"/>
    </row>
    <row r="95" spans="1:5" ht="12.75">
      <c r="A95" s="19"/>
      <c r="B95" s="19"/>
      <c r="C95" s="19"/>
      <c r="D95" s="19"/>
      <c r="E95" s="19"/>
    </row>
    <row r="96" spans="1:5" ht="12.75">
      <c r="A96" s="19"/>
      <c r="B96" s="19"/>
      <c r="C96" s="19"/>
      <c r="D96" s="19"/>
      <c r="E96" s="19"/>
    </row>
    <row r="97" spans="1:5" ht="12.75">
      <c r="A97" s="19"/>
      <c r="B97" s="19"/>
      <c r="C97" s="19"/>
      <c r="D97" s="19"/>
      <c r="E97" s="19"/>
    </row>
    <row r="98" spans="1:5" ht="12.75">
      <c r="A98" s="19"/>
      <c r="B98" s="19"/>
      <c r="C98" s="19"/>
      <c r="D98" s="19"/>
      <c r="E98" s="19"/>
    </row>
    <row r="99" spans="1:5" ht="12.75">
      <c r="A99" s="19"/>
      <c r="B99" s="19"/>
      <c r="C99" s="19"/>
      <c r="D99" s="19"/>
      <c r="E99" s="19"/>
    </row>
  </sheetData>
  <mergeCells count="9">
    <mergeCell ref="B27:C27"/>
    <mergeCell ref="B8:F8"/>
    <mergeCell ref="B9:F9"/>
    <mergeCell ref="B10:F10"/>
    <mergeCell ref="B18:C18"/>
    <mergeCell ref="B26:C26"/>
    <mergeCell ref="B19:C19"/>
    <mergeCell ref="B21:C21"/>
    <mergeCell ref="A25:D25"/>
  </mergeCells>
  <printOptions horizontalCentered="1"/>
  <pageMargins left="0.51181102362204722" right="0" top="0.23622047244094491" bottom="2.2440944881889764" header="0.51181102362204722" footer="2.0078740157480315"/>
  <pageSetup paperSize="258" scale="95" orientation="portrait" horizontalDpi="4294967293" verticalDpi="4294967293" r:id="rId1"/>
  <headerFooter alignWithMargins="0">
    <oddFooter>&amp;L&amp;4Data D&amp;C&amp;5dewan 2019 25 nop 2019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BD678"/>
  <sheetViews>
    <sheetView showGridLines="0" showOutlineSymbols="0" topLeftCell="A660" zoomScaleSheetLayoutView="85" workbookViewId="0">
      <selection activeCell="AM225" sqref="AM225"/>
    </sheetView>
  </sheetViews>
  <sheetFormatPr defaultColWidth="6.85546875" defaultRowHeight="12.75" customHeight="1"/>
  <cols>
    <col min="1" max="1" width="7.85546875" style="29" customWidth="1"/>
    <col min="2" max="2" width="1.140625" style="29" hidden="1" customWidth="1"/>
    <col min="3" max="3" width="7.42578125" style="29" customWidth="1"/>
    <col min="4" max="4" width="1.42578125" style="29" customWidth="1"/>
    <col min="5" max="5" width="3.5703125" style="29" customWidth="1"/>
    <col min="6" max="6" width="1.140625" style="29" hidden="1" customWidth="1"/>
    <col min="7" max="7" width="1.7109375" style="29" hidden="1" customWidth="1"/>
    <col min="8" max="9" width="1.7109375" style="29" customWidth="1"/>
    <col min="10" max="10" width="6.85546875" style="29" customWidth="1"/>
    <col min="11" max="11" width="24.85546875" style="29" customWidth="1"/>
    <col min="12" max="12" width="18.85546875" style="29" hidden="1" customWidth="1"/>
    <col min="13" max="13" width="12.5703125" style="29" hidden="1" customWidth="1"/>
    <col min="14" max="14" width="13.42578125" style="29" hidden="1" customWidth="1"/>
    <col min="15" max="15" width="16" style="29" hidden="1" customWidth="1"/>
    <col min="16" max="16" width="12.140625" style="29" hidden="1" customWidth="1"/>
    <col min="17" max="17" width="14" style="29" hidden="1" customWidth="1"/>
    <col min="18" max="18" width="9.5703125" style="29" hidden="1" customWidth="1"/>
    <col min="19" max="19" width="11.5703125" style="29" hidden="1" customWidth="1"/>
    <col min="20" max="20" width="12.28515625" style="29" hidden="1" customWidth="1"/>
    <col min="21" max="21" width="19.140625" style="29" hidden="1" customWidth="1"/>
    <col min="22" max="22" width="19.7109375" style="29" hidden="1" customWidth="1"/>
    <col min="23" max="23" width="15.85546875" style="29" hidden="1" customWidth="1"/>
    <col min="24" max="24" width="14.5703125" style="29" hidden="1" customWidth="1"/>
    <col min="25" max="27" width="15.140625" style="29" hidden="1" customWidth="1"/>
    <col min="28" max="28" width="18.85546875" style="29" bestFit="1" customWidth="1"/>
    <col min="29" max="29" width="18.85546875" style="29" hidden="1" customWidth="1"/>
    <col min="30" max="35" width="15.140625" style="29" hidden="1" customWidth="1"/>
    <col min="36" max="37" width="17" style="29" hidden="1" customWidth="1"/>
    <col min="38" max="38" width="13.5703125" style="29" hidden="1" customWidth="1"/>
    <col min="39" max="39" width="13.5703125" style="29" customWidth="1"/>
    <col min="40" max="40" width="14.7109375" style="29" customWidth="1"/>
    <col min="41" max="41" width="13.5703125" style="29" customWidth="1"/>
    <col min="42" max="42" width="14" style="29" customWidth="1"/>
    <col min="43" max="44" width="13.5703125" style="29" customWidth="1"/>
    <col min="45" max="45" width="13.28515625" style="29" customWidth="1"/>
    <col min="46" max="47" width="14.85546875" style="29" hidden="1" customWidth="1"/>
    <col min="48" max="48" width="12.140625" style="29" hidden="1" customWidth="1"/>
    <col min="49" max="49" width="10.5703125" style="29" hidden="1" customWidth="1"/>
    <col min="50" max="50" width="12.140625" style="29" hidden="1" customWidth="1"/>
    <col min="51" max="51" width="9" style="29" customWidth="1"/>
    <col min="52" max="52" width="17.7109375" style="29" hidden="1" customWidth="1"/>
    <col min="53" max="53" width="15" style="29" hidden="1" customWidth="1"/>
    <col min="54" max="54" width="17.28515625" style="29" hidden="1" customWidth="1"/>
    <col min="55" max="55" width="0" style="29" hidden="1" customWidth="1"/>
    <col min="56" max="256" width="6.85546875" style="29"/>
    <col min="257" max="257" width="7.85546875" style="29" customWidth="1"/>
    <col min="258" max="258" width="0" style="29" hidden="1" customWidth="1"/>
    <col min="259" max="259" width="7.42578125" style="29" customWidth="1"/>
    <col min="260" max="260" width="1.42578125" style="29" customWidth="1"/>
    <col min="261" max="261" width="3.5703125" style="29" customWidth="1"/>
    <col min="262" max="263" width="0" style="29" hidden="1" customWidth="1"/>
    <col min="264" max="265" width="1.7109375" style="29" customWidth="1"/>
    <col min="266" max="266" width="6.85546875" style="29" customWidth="1"/>
    <col min="267" max="267" width="24.85546875" style="29" customWidth="1"/>
    <col min="268" max="268" width="18.85546875" style="29" bestFit="1" customWidth="1"/>
    <col min="269" max="283" width="0" style="29" hidden="1" customWidth="1"/>
    <col min="284" max="285" width="18.85546875" style="29" bestFit="1" customWidth="1"/>
    <col min="286" max="292" width="0" style="29" hidden="1" customWidth="1"/>
    <col min="293" max="293" width="17" style="29" customWidth="1"/>
    <col min="294" max="295" width="13.5703125" style="29" customWidth="1"/>
    <col min="296" max="296" width="14.7109375" style="29" customWidth="1"/>
    <col min="297" max="297" width="13.5703125" style="29" customWidth="1"/>
    <col min="298" max="298" width="14" style="29" customWidth="1"/>
    <col min="299" max="300" width="13.5703125" style="29" customWidth="1"/>
    <col min="301" max="301" width="13.28515625" style="29" customWidth="1"/>
    <col min="302" max="306" width="0" style="29" hidden="1" customWidth="1"/>
    <col min="307" max="307" width="9" style="29" customWidth="1"/>
    <col min="308" max="308" width="17.7109375" style="29" customWidth="1"/>
    <col min="309" max="309" width="15" style="29" customWidth="1"/>
    <col min="310" max="310" width="17.28515625" style="29" customWidth="1"/>
    <col min="311" max="512" width="6.85546875" style="29"/>
    <col min="513" max="513" width="7.85546875" style="29" customWidth="1"/>
    <col min="514" max="514" width="0" style="29" hidden="1" customWidth="1"/>
    <col min="515" max="515" width="7.42578125" style="29" customWidth="1"/>
    <col min="516" max="516" width="1.42578125" style="29" customWidth="1"/>
    <col min="517" max="517" width="3.5703125" style="29" customWidth="1"/>
    <col min="518" max="519" width="0" style="29" hidden="1" customWidth="1"/>
    <col min="520" max="521" width="1.7109375" style="29" customWidth="1"/>
    <col min="522" max="522" width="6.85546875" style="29" customWidth="1"/>
    <col min="523" max="523" width="24.85546875" style="29" customWidth="1"/>
    <col min="524" max="524" width="18.85546875" style="29" bestFit="1" customWidth="1"/>
    <col min="525" max="539" width="0" style="29" hidden="1" customWidth="1"/>
    <col min="540" max="541" width="18.85546875" style="29" bestFit="1" customWidth="1"/>
    <col min="542" max="548" width="0" style="29" hidden="1" customWidth="1"/>
    <col min="549" max="549" width="17" style="29" customWidth="1"/>
    <col min="550" max="551" width="13.5703125" style="29" customWidth="1"/>
    <col min="552" max="552" width="14.7109375" style="29" customWidth="1"/>
    <col min="553" max="553" width="13.5703125" style="29" customWidth="1"/>
    <col min="554" max="554" width="14" style="29" customWidth="1"/>
    <col min="555" max="556" width="13.5703125" style="29" customWidth="1"/>
    <col min="557" max="557" width="13.28515625" style="29" customWidth="1"/>
    <col min="558" max="562" width="0" style="29" hidden="1" customWidth="1"/>
    <col min="563" max="563" width="9" style="29" customWidth="1"/>
    <col min="564" max="564" width="17.7109375" style="29" customWidth="1"/>
    <col min="565" max="565" width="15" style="29" customWidth="1"/>
    <col min="566" max="566" width="17.28515625" style="29" customWidth="1"/>
    <col min="567" max="768" width="6.85546875" style="29"/>
    <col min="769" max="769" width="7.85546875" style="29" customWidth="1"/>
    <col min="770" max="770" width="0" style="29" hidden="1" customWidth="1"/>
    <col min="771" max="771" width="7.42578125" style="29" customWidth="1"/>
    <col min="772" max="772" width="1.42578125" style="29" customWidth="1"/>
    <col min="773" max="773" width="3.5703125" style="29" customWidth="1"/>
    <col min="774" max="775" width="0" style="29" hidden="1" customWidth="1"/>
    <col min="776" max="777" width="1.7109375" style="29" customWidth="1"/>
    <col min="778" max="778" width="6.85546875" style="29" customWidth="1"/>
    <col min="779" max="779" width="24.85546875" style="29" customWidth="1"/>
    <col min="780" max="780" width="18.85546875" style="29" bestFit="1" customWidth="1"/>
    <col min="781" max="795" width="0" style="29" hidden="1" customWidth="1"/>
    <col min="796" max="797" width="18.85546875" style="29" bestFit="1" customWidth="1"/>
    <col min="798" max="804" width="0" style="29" hidden="1" customWidth="1"/>
    <col min="805" max="805" width="17" style="29" customWidth="1"/>
    <col min="806" max="807" width="13.5703125" style="29" customWidth="1"/>
    <col min="808" max="808" width="14.7109375" style="29" customWidth="1"/>
    <col min="809" max="809" width="13.5703125" style="29" customWidth="1"/>
    <col min="810" max="810" width="14" style="29" customWidth="1"/>
    <col min="811" max="812" width="13.5703125" style="29" customWidth="1"/>
    <col min="813" max="813" width="13.28515625" style="29" customWidth="1"/>
    <col min="814" max="818" width="0" style="29" hidden="1" customWidth="1"/>
    <col min="819" max="819" width="9" style="29" customWidth="1"/>
    <col min="820" max="820" width="17.7109375" style="29" customWidth="1"/>
    <col min="821" max="821" width="15" style="29" customWidth="1"/>
    <col min="822" max="822" width="17.28515625" style="29" customWidth="1"/>
    <col min="823" max="1024" width="6.85546875" style="29"/>
    <col min="1025" max="1025" width="7.85546875" style="29" customWidth="1"/>
    <col min="1026" max="1026" width="0" style="29" hidden="1" customWidth="1"/>
    <col min="1027" max="1027" width="7.42578125" style="29" customWidth="1"/>
    <col min="1028" max="1028" width="1.42578125" style="29" customWidth="1"/>
    <col min="1029" max="1029" width="3.5703125" style="29" customWidth="1"/>
    <col min="1030" max="1031" width="0" style="29" hidden="1" customWidth="1"/>
    <col min="1032" max="1033" width="1.7109375" style="29" customWidth="1"/>
    <col min="1034" max="1034" width="6.85546875" style="29" customWidth="1"/>
    <col min="1035" max="1035" width="24.85546875" style="29" customWidth="1"/>
    <col min="1036" max="1036" width="18.85546875" style="29" bestFit="1" customWidth="1"/>
    <col min="1037" max="1051" width="0" style="29" hidden="1" customWidth="1"/>
    <col min="1052" max="1053" width="18.85546875" style="29" bestFit="1" customWidth="1"/>
    <col min="1054" max="1060" width="0" style="29" hidden="1" customWidth="1"/>
    <col min="1061" max="1061" width="17" style="29" customWidth="1"/>
    <col min="1062" max="1063" width="13.5703125" style="29" customWidth="1"/>
    <col min="1064" max="1064" width="14.7109375" style="29" customWidth="1"/>
    <col min="1065" max="1065" width="13.5703125" style="29" customWidth="1"/>
    <col min="1066" max="1066" width="14" style="29" customWidth="1"/>
    <col min="1067" max="1068" width="13.5703125" style="29" customWidth="1"/>
    <col min="1069" max="1069" width="13.28515625" style="29" customWidth="1"/>
    <col min="1070" max="1074" width="0" style="29" hidden="1" customWidth="1"/>
    <col min="1075" max="1075" width="9" style="29" customWidth="1"/>
    <col min="1076" max="1076" width="17.7109375" style="29" customWidth="1"/>
    <col min="1077" max="1077" width="15" style="29" customWidth="1"/>
    <col min="1078" max="1078" width="17.28515625" style="29" customWidth="1"/>
    <col min="1079" max="1280" width="6.85546875" style="29"/>
    <col min="1281" max="1281" width="7.85546875" style="29" customWidth="1"/>
    <col min="1282" max="1282" width="0" style="29" hidden="1" customWidth="1"/>
    <col min="1283" max="1283" width="7.42578125" style="29" customWidth="1"/>
    <col min="1284" max="1284" width="1.42578125" style="29" customWidth="1"/>
    <col min="1285" max="1285" width="3.5703125" style="29" customWidth="1"/>
    <col min="1286" max="1287" width="0" style="29" hidden="1" customWidth="1"/>
    <col min="1288" max="1289" width="1.7109375" style="29" customWidth="1"/>
    <col min="1290" max="1290" width="6.85546875" style="29" customWidth="1"/>
    <col min="1291" max="1291" width="24.85546875" style="29" customWidth="1"/>
    <col min="1292" max="1292" width="18.85546875" style="29" bestFit="1" customWidth="1"/>
    <col min="1293" max="1307" width="0" style="29" hidden="1" customWidth="1"/>
    <col min="1308" max="1309" width="18.85546875" style="29" bestFit="1" customWidth="1"/>
    <col min="1310" max="1316" width="0" style="29" hidden="1" customWidth="1"/>
    <col min="1317" max="1317" width="17" style="29" customWidth="1"/>
    <col min="1318" max="1319" width="13.5703125" style="29" customWidth="1"/>
    <col min="1320" max="1320" width="14.7109375" style="29" customWidth="1"/>
    <col min="1321" max="1321" width="13.5703125" style="29" customWidth="1"/>
    <col min="1322" max="1322" width="14" style="29" customWidth="1"/>
    <col min="1323" max="1324" width="13.5703125" style="29" customWidth="1"/>
    <col min="1325" max="1325" width="13.28515625" style="29" customWidth="1"/>
    <col min="1326" max="1330" width="0" style="29" hidden="1" customWidth="1"/>
    <col min="1331" max="1331" width="9" style="29" customWidth="1"/>
    <col min="1332" max="1332" width="17.7109375" style="29" customWidth="1"/>
    <col min="1333" max="1333" width="15" style="29" customWidth="1"/>
    <col min="1334" max="1334" width="17.28515625" style="29" customWidth="1"/>
    <col min="1335" max="1536" width="6.85546875" style="29"/>
    <col min="1537" max="1537" width="7.85546875" style="29" customWidth="1"/>
    <col min="1538" max="1538" width="0" style="29" hidden="1" customWidth="1"/>
    <col min="1539" max="1539" width="7.42578125" style="29" customWidth="1"/>
    <col min="1540" max="1540" width="1.42578125" style="29" customWidth="1"/>
    <col min="1541" max="1541" width="3.5703125" style="29" customWidth="1"/>
    <col min="1542" max="1543" width="0" style="29" hidden="1" customWidth="1"/>
    <col min="1544" max="1545" width="1.7109375" style="29" customWidth="1"/>
    <col min="1546" max="1546" width="6.85546875" style="29" customWidth="1"/>
    <col min="1547" max="1547" width="24.85546875" style="29" customWidth="1"/>
    <col min="1548" max="1548" width="18.85546875" style="29" bestFit="1" customWidth="1"/>
    <col min="1549" max="1563" width="0" style="29" hidden="1" customWidth="1"/>
    <col min="1564" max="1565" width="18.85546875" style="29" bestFit="1" customWidth="1"/>
    <col min="1566" max="1572" width="0" style="29" hidden="1" customWidth="1"/>
    <col min="1573" max="1573" width="17" style="29" customWidth="1"/>
    <col min="1574" max="1575" width="13.5703125" style="29" customWidth="1"/>
    <col min="1576" max="1576" width="14.7109375" style="29" customWidth="1"/>
    <col min="1577" max="1577" width="13.5703125" style="29" customWidth="1"/>
    <col min="1578" max="1578" width="14" style="29" customWidth="1"/>
    <col min="1579" max="1580" width="13.5703125" style="29" customWidth="1"/>
    <col min="1581" max="1581" width="13.28515625" style="29" customWidth="1"/>
    <col min="1582" max="1586" width="0" style="29" hidden="1" customWidth="1"/>
    <col min="1587" max="1587" width="9" style="29" customWidth="1"/>
    <col min="1588" max="1588" width="17.7109375" style="29" customWidth="1"/>
    <col min="1589" max="1589" width="15" style="29" customWidth="1"/>
    <col min="1590" max="1590" width="17.28515625" style="29" customWidth="1"/>
    <col min="1591" max="1792" width="6.85546875" style="29"/>
    <col min="1793" max="1793" width="7.85546875" style="29" customWidth="1"/>
    <col min="1794" max="1794" width="0" style="29" hidden="1" customWidth="1"/>
    <col min="1795" max="1795" width="7.42578125" style="29" customWidth="1"/>
    <col min="1796" max="1796" width="1.42578125" style="29" customWidth="1"/>
    <col min="1797" max="1797" width="3.5703125" style="29" customWidth="1"/>
    <col min="1798" max="1799" width="0" style="29" hidden="1" customWidth="1"/>
    <col min="1800" max="1801" width="1.7109375" style="29" customWidth="1"/>
    <col min="1802" max="1802" width="6.85546875" style="29" customWidth="1"/>
    <col min="1803" max="1803" width="24.85546875" style="29" customWidth="1"/>
    <col min="1804" max="1804" width="18.85546875" style="29" bestFit="1" customWidth="1"/>
    <col min="1805" max="1819" width="0" style="29" hidden="1" customWidth="1"/>
    <col min="1820" max="1821" width="18.85546875" style="29" bestFit="1" customWidth="1"/>
    <col min="1822" max="1828" width="0" style="29" hidden="1" customWidth="1"/>
    <col min="1829" max="1829" width="17" style="29" customWidth="1"/>
    <col min="1830" max="1831" width="13.5703125" style="29" customWidth="1"/>
    <col min="1832" max="1832" width="14.7109375" style="29" customWidth="1"/>
    <col min="1833" max="1833" width="13.5703125" style="29" customWidth="1"/>
    <col min="1834" max="1834" width="14" style="29" customWidth="1"/>
    <col min="1835" max="1836" width="13.5703125" style="29" customWidth="1"/>
    <col min="1837" max="1837" width="13.28515625" style="29" customWidth="1"/>
    <col min="1838" max="1842" width="0" style="29" hidden="1" customWidth="1"/>
    <col min="1843" max="1843" width="9" style="29" customWidth="1"/>
    <col min="1844" max="1844" width="17.7109375" style="29" customWidth="1"/>
    <col min="1845" max="1845" width="15" style="29" customWidth="1"/>
    <col min="1846" max="1846" width="17.28515625" style="29" customWidth="1"/>
    <col min="1847" max="2048" width="6.85546875" style="29"/>
    <col min="2049" max="2049" width="7.85546875" style="29" customWidth="1"/>
    <col min="2050" max="2050" width="0" style="29" hidden="1" customWidth="1"/>
    <col min="2051" max="2051" width="7.42578125" style="29" customWidth="1"/>
    <col min="2052" max="2052" width="1.42578125" style="29" customWidth="1"/>
    <col min="2053" max="2053" width="3.5703125" style="29" customWidth="1"/>
    <col min="2054" max="2055" width="0" style="29" hidden="1" customWidth="1"/>
    <col min="2056" max="2057" width="1.7109375" style="29" customWidth="1"/>
    <col min="2058" max="2058" width="6.85546875" style="29" customWidth="1"/>
    <col min="2059" max="2059" width="24.85546875" style="29" customWidth="1"/>
    <col min="2060" max="2060" width="18.85546875" style="29" bestFit="1" customWidth="1"/>
    <col min="2061" max="2075" width="0" style="29" hidden="1" customWidth="1"/>
    <col min="2076" max="2077" width="18.85546875" style="29" bestFit="1" customWidth="1"/>
    <col min="2078" max="2084" width="0" style="29" hidden="1" customWidth="1"/>
    <col min="2085" max="2085" width="17" style="29" customWidth="1"/>
    <col min="2086" max="2087" width="13.5703125" style="29" customWidth="1"/>
    <col min="2088" max="2088" width="14.7109375" style="29" customWidth="1"/>
    <col min="2089" max="2089" width="13.5703125" style="29" customWidth="1"/>
    <col min="2090" max="2090" width="14" style="29" customWidth="1"/>
    <col min="2091" max="2092" width="13.5703125" style="29" customWidth="1"/>
    <col min="2093" max="2093" width="13.28515625" style="29" customWidth="1"/>
    <col min="2094" max="2098" width="0" style="29" hidden="1" customWidth="1"/>
    <col min="2099" max="2099" width="9" style="29" customWidth="1"/>
    <col min="2100" max="2100" width="17.7109375" style="29" customWidth="1"/>
    <col min="2101" max="2101" width="15" style="29" customWidth="1"/>
    <col min="2102" max="2102" width="17.28515625" style="29" customWidth="1"/>
    <col min="2103" max="2304" width="6.85546875" style="29"/>
    <col min="2305" max="2305" width="7.85546875" style="29" customWidth="1"/>
    <col min="2306" max="2306" width="0" style="29" hidden="1" customWidth="1"/>
    <col min="2307" max="2307" width="7.42578125" style="29" customWidth="1"/>
    <col min="2308" max="2308" width="1.42578125" style="29" customWidth="1"/>
    <col min="2309" max="2309" width="3.5703125" style="29" customWidth="1"/>
    <col min="2310" max="2311" width="0" style="29" hidden="1" customWidth="1"/>
    <col min="2312" max="2313" width="1.7109375" style="29" customWidth="1"/>
    <col min="2314" max="2314" width="6.85546875" style="29" customWidth="1"/>
    <col min="2315" max="2315" width="24.85546875" style="29" customWidth="1"/>
    <col min="2316" max="2316" width="18.85546875" style="29" bestFit="1" customWidth="1"/>
    <col min="2317" max="2331" width="0" style="29" hidden="1" customWidth="1"/>
    <col min="2332" max="2333" width="18.85546875" style="29" bestFit="1" customWidth="1"/>
    <col min="2334" max="2340" width="0" style="29" hidden="1" customWidth="1"/>
    <col min="2341" max="2341" width="17" style="29" customWidth="1"/>
    <col min="2342" max="2343" width="13.5703125" style="29" customWidth="1"/>
    <col min="2344" max="2344" width="14.7109375" style="29" customWidth="1"/>
    <col min="2345" max="2345" width="13.5703125" style="29" customWidth="1"/>
    <col min="2346" max="2346" width="14" style="29" customWidth="1"/>
    <col min="2347" max="2348" width="13.5703125" style="29" customWidth="1"/>
    <col min="2349" max="2349" width="13.28515625" style="29" customWidth="1"/>
    <col min="2350" max="2354" width="0" style="29" hidden="1" customWidth="1"/>
    <col min="2355" max="2355" width="9" style="29" customWidth="1"/>
    <col min="2356" max="2356" width="17.7109375" style="29" customWidth="1"/>
    <col min="2357" max="2357" width="15" style="29" customWidth="1"/>
    <col min="2358" max="2358" width="17.28515625" style="29" customWidth="1"/>
    <col min="2359" max="2560" width="6.85546875" style="29"/>
    <col min="2561" max="2561" width="7.85546875" style="29" customWidth="1"/>
    <col min="2562" max="2562" width="0" style="29" hidden="1" customWidth="1"/>
    <col min="2563" max="2563" width="7.42578125" style="29" customWidth="1"/>
    <col min="2564" max="2564" width="1.42578125" style="29" customWidth="1"/>
    <col min="2565" max="2565" width="3.5703125" style="29" customWidth="1"/>
    <col min="2566" max="2567" width="0" style="29" hidden="1" customWidth="1"/>
    <col min="2568" max="2569" width="1.7109375" style="29" customWidth="1"/>
    <col min="2570" max="2570" width="6.85546875" style="29" customWidth="1"/>
    <col min="2571" max="2571" width="24.85546875" style="29" customWidth="1"/>
    <col min="2572" max="2572" width="18.85546875" style="29" bestFit="1" customWidth="1"/>
    <col min="2573" max="2587" width="0" style="29" hidden="1" customWidth="1"/>
    <col min="2588" max="2589" width="18.85546875" style="29" bestFit="1" customWidth="1"/>
    <col min="2590" max="2596" width="0" style="29" hidden="1" customWidth="1"/>
    <col min="2597" max="2597" width="17" style="29" customWidth="1"/>
    <col min="2598" max="2599" width="13.5703125" style="29" customWidth="1"/>
    <col min="2600" max="2600" width="14.7109375" style="29" customWidth="1"/>
    <col min="2601" max="2601" width="13.5703125" style="29" customWidth="1"/>
    <col min="2602" max="2602" width="14" style="29" customWidth="1"/>
    <col min="2603" max="2604" width="13.5703125" style="29" customWidth="1"/>
    <col min="2605" max="2605" width="13.28515625" style="29" customWidth="1"/>
    <col min="2606" max="2610" width="0" style="29" hidden="1" customWidth="1"/>
    <col min="2611" max="2611" width="9" style="29" customWidth="1"/>
    <col min="2612" max="2612" width="17.7109375" style="29" customWidth="1"/>
    <col min="2613" max="2613" width="15" style="29" customWidth="1"/>
    <col min="2614" max="2614" width="17.28515625" style="29" customWidth="1"/>
    <col min="2615" max="2816" width="6.85546875" style="29"/>
    <col min="2817" max="2817" width="7.85546875" style="29" customWidth="1"/>
    <col min="2818" max="2818" width="0" style="29" hidden="1" customWidth="1"/>
    <col min="2819" max="2819" width="7.42578125" style="29" customWidth="1"/>
    <col min="2820" max="2820" width="1.42578125" style="29" customWidth="1"/>
    <col min="2821" max="2821" width="3.5703125" style="29" customWidth="1"/>
    <col min="2822" max="2823" width="0" style="29" hidden="1" customWidth="1"/>
    <col min="2824" max="2825" width="1.7109375" style="29" customWidth="1"/>
    <col min="2826" max="2826" width="6.85546875" style="29" customWidth="1"/>
    <col min="2827" max="2827" width="24.85546875" style="29" customWidth="1"/>
    <col min="2828" max="2828" width="18.85546875" style="29" bestFit="1" customWidth="1"/>
    <col min="2829" max="2843" width="0" style="29" hidden="1" customWidth="1"/>
    <col min="2844" max="2845" width="18.85546875" style="29" bestFit="1" customWidth="1"/>
    <col min="2846" max="2852" width="0" style="29" hidden="1" customWidth="1"/>
    <col min="2853" max="2853" width="17" style="29" customWidth="1"/>
    <col min="2854" max="2855" width="13.5703125" style="29" customWidth="1"/>
    <col min="2856" max="2856" width="14.7109375" style="29" customWidth="1"/>
    <col min="2857" max="2857" width="13.5703125" style="29" customWidth="1"/>
    <col min="2858" max="2858" width="14" style="29" customWidth="1"/>
    <col min="2859" max="2860" width="13.5703125" style="29" customWidth="1"/>
    <col min="2861" max="2861" width="13.28515625" style="29" customWidth="1"/>
    <col min="2862" max="2866" width="0" style="29" hidden="1" customWidth="1"/>
    <col min="2867" max="2867" width="9" style="29" customWidth="1"/>
    <col min="2868" max="2868" width="17.7109375" style="29" customWidth="1"/>
    <col min="2869" max="2869" width="15" style="29" customWidth="1"/>
    <col min="2870" max="2870" width="17.28515625" style="29" customWidth="1"/>
    <col min="2871" max="3072" width="6.85546875" style="29"/>
    <col min="3073" max="3073" width="7.85546875" style="29" customWidth="1"/>
    <col min="3074" max="3074" width="0" style="29" hidden="1" customWidth="1"/>
    <col min="3075" max="3075" width="7.42578125" style="29" customWidth="1"/>
    <col min="3076" max="3076" width="1.42578125" style="29" customWidth="1"/>
    <col min="3077" max="3077" width="3.5703125" style="29" customWidth="1"/>
    <col min="3078" max="3079" width="0" style="29" hidden="1" customWidth="1"/>
    <col min="3080" max="3081" width="1.7109375" style="29" customWidth="1"/>
    <col min="3082" max="3082" width="6.85546875" style="29" customWidth="1"/>
    <col min="3083" max="3083" width="24.85546875" style="29" customWidth="1"/>
    <col min="3084" max="3084" width="18.85546875" style="29" bestFit="1" customWidth="1"/>
    <col min="3085" max="3099" width="0" style="29" hidden="1" customWidth="1"/>
    <col min="3100" max="3101" width="18.85546875" style="29" bestFit="1" customWidth="1"/>
    <col min="3102" max="3108" width="0" style="29" hidden="1" customWidth="1"/>
    <col min="3109" max="3109" width="17" style="29" customWidth="1"/>
    <col min="3110" max="3111" width="13.5703125" style="29" customWidth="1"/>
    <col min="3112" max="3112" width="14.7109375" style="29" customWidth="1"/>
    <col min="3113" max="3113" width="13.5703125" style="29" customWidth="1"/>
    <col min="3114" max="3114" width="14" style="29" customWidth="1"/>
    <col min="3115" max="3116" width="13.5703125" style="29" customWidth="1"/>
    <col min="3117" max="3117" width="13.28515625" style="29" customWidth="1"/>
    <col min="3118" max="3122" width="0" style="29" hidden="1" customWidth="1"/>
    <col min="3123" max="3123" width="9" style="29" customWidth="1"/>
    <col min="3124" max="3124" width="17.7109375" style="29" customWidth="1"/>
    <col min="3125" max="3125" width="15" style="29" customWidth="1"/>
    <col min="3126" max="3126" width="17.28515625" style="29" customWidth="1"/>
    <col min="3127" max="3328" width="6.85546875" style="29"/>
    <col min="3329" max="3329" width="7.85546875" style="29" customWidth="1"/>
    <col min="3330" max="3330" width="0" style="29" hidden="1" customWidth="1"/>
    <col min="3331" max="3331" width="7.42578125" style="29" customWidth="1"/>
    <col min="3332" max="3332" width="1.42578125" style="29" customWidth="1"/>
    <col min="3333" max="3333" width="3.5703125" style="29" customWidth="1"/>
    <col min="3334" max="3335" width="0" style="29" hidden="1" customWidth="1"/>
    <col min="3336" max="3337" width="1.7109375" style="29" customWidth="1"/>
    <col min="3338" max="3338" width="6.85546875" style="29" customWidth="1"/>
    <col min="3339" max="3339" width="24.85546875" style="29" customWidth="1"/>
    <col min="3340" max="3340" width="18.85546875" style="29" bestFit="1" customWidth="1"/>
    <col min="3341" max="3355" width="0" style="29" hidden="1" customWidth="1"/>
    <col min="3356" max="3357" width="18.85546875" style="29" bestFit="1" customWidth="1"/>
    <col min="3358" max="3364" width="0" style="29" hidden="1" customWidth="1"/>
    <col min="3365" max="3365" width="17" style="29" customWidth="1"/>
    <col min="3366" max="3367" width="13.5703125" style="29" customWidth="1"/>
    <col min="3368" max="3368" width="14.7109375" style="29" customWidth="1"/>
    <col min="3369" max="3369" width="13.5703125" style="29" customWidth="1"/>
    <col min="3370" max="3370" width="14" style="29" customWidth="1"/>
    <col min="3371" max="3372" width="13.5703125" style="29" customWidth="1"/>
    <col min="3373" max="3373" width="13.28515625" style="29" customWidth="1"/>
    <col min="3374" max="3378" width="0" style="29" hidden="1" customWidth="1"/>
    <col min="3379" max="3379" width="9" style="29" customWidth="1"/>
    <col min="3380" max="3380" width="17.7109375" style="29" customWidth="1"/>
    <col min="3381" max="3381" width="15" style="29" customWidth="1"/>
    <col min="3382" max="3382" width="17.28515625" style="29" customWidth="1"/>
    <col min="3383" max="3584" width="6.85546875" style="29"/>
    <col min="3585" max="3585" width="7.85546875" style="29" customWidth="1"/>
    <col min="3586" max="3586" width="0" style="29" hidden="1" customWidth="1"/>
    <col min="3587" max="3587" width="7.42578125" style="29" customWidth="1"/>
    <col min="3588" max="3588" width="1.42578125" style="29" customWidth="1"/>
    <col min="3589" max="3589" width="3.5703125" style="29" customWidth="1"/>
    <col min="3590" max="3591" width="0" style="29" hidden="1" customWidth="1"/>
    <col min="3592" max="3593" width="1.7109375" style="29" customWidth="1"/>
    <col min="3594" max="3594" width="6.85546875" style="29" customWidth="1"/>
    <col min="3595" max="3595" width="24.85546875" style="29" customWidth="1"/>
    <col min="3596" max="3596" width="18.85546875" style="29" bestFit="1" customWidth="1"/>
    <col min="3597" max="3611" width="0" style="29" hidden="1" customWidth="1"/>
    <col min="3612" max="3613" width="18.85546875" style="29" bestFit="1" customWidth="1"/>
    <col min="3614" max="3620" width="0" style="29" hidden="1" customWidth="1"/>
    <col min="3621" max="3621" width="17" style="29" customWidth="1"/>
    <col min="3622" max="3623" width="13.5703125" style="29" customWidth="1"/>
    <col min="3624" max="3624" width="14.7109375" style="29" customWidth="1"/>
    <col min="3625" max="3625" width="13.5703125" style="29" customWidth="1"/>
    <col min="3626" max="3626" width="14" style="29" customWidth="1"/>
    <col min="3627" max="3628" width="13.5703125" style="29" customWidth="1"/>
    <col min="3629" max="3629" width="13.28515625" style="29" customWidth="1"/>
    <col min="3630" max="3634" width="0" style="29" hidden="1" customWidth="1"/>
    <col min="3635" max="3635" width="9" style="29" customWidth="1"/>
    <col min="3636" max="3636" width="17.7109375" style="29" customWidth="1"/>
    <col min="3637" max="3637" width="15" style="29" customWidth="1"/>
    <col min="3638" max="3638" width="17.28515625" style="29" customWidth="1"/>
    <col min="3639" max="3840" width="6.85546875" style="29"/>
    <col min="3841" max="3841" width="7.85546875" style="29" customWidth="1"/>
    <col min="3842" max="3842" width="0" style="29" hidden="1" customWidth="1"/>
    <col min="3843" max="3843" width="7.42578125" style="29" customWidth="1"/>
    <col min="3844" max="3844" width="1.42578125" style="29" customWidth="1"/>
    <col min="3845" max="3845" width="3.5703125" style="29" customWidth="1"/>
    <col min="3846" max="3847" width="0" style="29" hidden="1" customWidth="1"/>
    <col min="3848" max="3849" width="1.7109375" style="29" customWidth="1"/>
    <col min="3850" max="3850" width="6.85546875" style="29" customWidth="1"/>
    <col min="3851" max="3851" width="24.85546875" style="29" customWidth="1"/>
    <col min="3852" max="3852" width="18.85546875" style="29" bestFit="1" customWidth="1"/>
    <col min="3853" max="3867" width="0" style="29" hidden="1" customWidth="1"/>
    <col min="3868" max="3869" width="18.85546875" style="29" bestFit="1" customWidth="1"/>
    <col min="3870" max="3876" width="0" style="29" hidden="1" customWidth="1"/>
    <col min="3877" max="3877" width="17" style="29" customWidth="1"/>
    <col min="3878" max="3879" width="13.5703125" style="29" customWidth="1"/>
    <col min="3880" max="3880" width="14.7109375" style="29" customWidth="1"/>
    <col min="3881" max="3881" width="13.5703125" style="29" customWidth="1"/>
    <col min="3882" max="3882" width="14" style="29" customWidth="1"/>
    <col min="3883" max="3884" width="13.5703125" style="29" customWidth="1"/>
    <col min="3885" max="3885" width="13.28515625" style="29" customWidth="1"/>
    <col min="3886" max="3890" width="0" style="29" hidden="1" customWidth="1"/>
    <col min="3891" max="3891" width="9" style="29" customWidth="1"/>
    <col min="3892" max="3892" width="17.7109375" style="29" customWidth="1"/>
    <col min="3893" max="3893" width="15" style="29" customWidth="1"/>
    <col min="3894" max="3894" width="17.28515625" style="29" customWidth="1"/>
    <col min="3895" max="4096" width="6.85546875" style="29"/>
    <col min="4097" max="4097" width="7.85546875" style="29" customWidth="1"/>
    <col min="4098" max="4098" width="0" style="29" hidden="1" customWidth="1"/>
    <col min="4099" max="4099" width="7.42578125" style="29" customWidth="1"/>
    <col min="4100" max="4100" width="1.42578125" style="29" customWidth="1"/>
    <col min="4101" max="4101" width="3.5703125" style="29" customWidth="1"/>
    <col min="4102" max="4103" width="0" style="29" hidden="1" customWidth="1"/>
    <col min="4104" max="4105" width="1.7109375" style="29" customWidth="1"/>
    <col min="4106" max="4106" width="6.85546875" style="29" customWidth="1"/>
    <col min="4107" max="4107" width="24.85546875" style="29" customWidth="1"/>
    <col min="4108" max="4108" width="18.85546875" style="29" bestFit="1" customWidth="1"/>
    <col min="4109" max="4123" width="0" style="29" hidden="1" customWidth="1"/>
    <col min="4124" max="4125" width="18.85546875" style="29" bestFit="1" customWidth="1"/>
    <col min="4126" max="4132" width="0" style="29" hidden="1" customWidth="1"/>
    <col min="4133" max="4133" width="17" style="29" customWidth="1"/>
    <col min="4134" max="4135" width="13.5703125" style="29" customWidth="1"/>
    <col min="4136" max="4136" width="14.7109375" style="29" customWidth="1"/>
    <col min="4137" max="4137" width="13.5703125" style="29" customWidth="1"/>
    <col min="4138" max="4138" width="14" style="29" customWidth="1"/>
    <col min="4139" max="4140" width="13.5703125" style="29" customWidth="1"/>
    <col min="4141" max="4141" width="13.28515625" style="29" customWidth="1"/>
    <col min="4142" max="4146" width="0" style="29" hidden="1" customWidth="1"/>
    <col min="4147" max="4147" width="9" style="29" customWidth="1"/>
    <col min="4148" max="4148" width="17.7109375" style="29" customWidth="1"/>
    <col min="4149" max="4149" width="15" style="29" customWidth="1"/>
    <col min="4150" max="4150" width="17.28515625" style="29" customWidth="1"/>
    <col min="4151" max="4352" width="6.85546875" style="29"/>
    <col min="4353" max="4353" width="7.85546875" style="29" customWidth="1"/>
    <col min="4354" max="4354" width="0" style="29" hidden="1" customWidth="1"/>
    <col min="4355" max="4355" width="7.42578125" style="29" customWidth="1"/>
    <col min="4356" max="4356" width="1.42578125" style="29" customWidth="1"/>
    <col min="4357" max="4357" width="3.5703125" style="29" customWidth="1"/>
    <col min="4358" max="4359" width="0" style="29" hidden="1" customWidth="1"/>
    <col min="4360" max="4361" width="1.7109375" style="29" customWidth="1"/>
    <col min="4362" max="4362" width="6.85546875" style="29" customWidth="1"/>
    <col min="4363" max="4363" width="24.85546875" style="29" customWidth="1"/>
    <col min="4364" max="4364" width="18.85546875" style="29" bestFit="1" customWidth="1"/>
    <col min="4365" max="4379" width="0" style="29" hidden="1" customWidth="1"/>
    <col min="4380" max="4381" width="18.85546875" style="29" bestFit="1" customWidth="1"/>
    <col min="4382" max="4388" width="0" style="29" hidden="1" customWidth="1"/>
    <col min="4389" max="4389" width="17" style="29" customWidth="1"/>
    <col min="4390" max="4391" width="13.5703125" style="29" customWidth="1"/>
    <col min="4392" max="4392" width="14.7109375" style="29" customWidth="1"/>
    <col min="4393" max="4393" width="13.5703125" style="29" customWidth="1"/>
    <col min="4394" max="4394" width="14" style="29" customWidth="1"/>
    <col min="4395" max="4396" width="13.5703125" style="29" customWidth="1"/>
    <col min="4397" max="4397" width="13.28515625" style="29" customWidth="1"/>
    <col min="4398" max="4402" width="0" style="29" hidden="1" customWidth="1"/>
    <col min="4403" max="4403" width="9" style="29" customWidth="1"/>
    <col min="4404" max="4404" width="17.7109375" style="29" customWidth="1"/>
    <col min="4405" max="4405" width="15" style="29" customWidth="1"/>
    <col min="4406" max="4406" width="17.28515625" style="29" customWidth="1"/>
    <col min="4407" max="4608" width="6.85546875" style="29"/>
    <col min="4609" max="4609" width="7.85546875" style="29" customWidth="1"/>
    <col min="4610" max="4610" width="0" style="29" hidden="1" customWidth="1"/>
    <col min="4611" max="4611" width="7.42578125" style="29" customWidth="1"/>
    <col min="4612" max="4612" width="1.42578125" style="29" customWidth="1"/>
    <col min="4613" max="4613" width="3.5703125" style="29" customWidth="1"/>
    <col min="4614" max="4615" width="0" style="29" hidden="1" customWidth="1"/>
    <col min="4616" max="4617" width="1.7109375" style="29" customWidth="1"/>
    <col min="4618" max="4618" width="6.85546875" style="29" customWidth="1"/>
    <col min="4619" max="4619" width="24.85546875" style="29" customWidth="1"/>
    <col min="4620" max="4620" width="18.85546875" style="29" bestFit="1" customWidth="1"/>
    <col min="4621" max="4635" width="0" style="29" hidden="1" customWidth="1"/>
    <col min="4636" max="4637" width="18.85546875" style="29" bestFit="1" customWidth="1"/>
    <col min="4638" max="4644" width="0" style="29" hidden="1" customWidth="1"/>
    <col min="4645" max="4645" width="17" style="29" customWidth="1"/>
    <col min="4646" max="4647" width="13.5703125" style="29" customWidth="1"/>
    <col min="4648" max="4648" width="14.7109375" style="29" customWidth="1"/>
    <col min="4649" max="4649" width="13.5703125" style="29" customWidth="1"/>
    <col min="4650" max="4650" width="14" style="29" customWidth="1"/>
    <col min="4651" max="4652" width="13.5703125" style="29" customWidth="1"/>
    <col min="4653" max="4653" width="13.28515625" style="29" customWidth="1"/>
    <col min="4654" max="4658" width="0" style="29" hidden="1" customWidth="1"/>
    <col min="4659" max="4659" width="9" style="29" customWidth="1"/>
    <col min="4660" max="4660" width="17.7109375" style="29" customWidth="1"/>
    <col min="4661" max="4661" width="15" style="29" customWidth="1"/>
    <col min="4662" max="4662" width="17.28515625" style="29" customWidth="1"/>
    <col min="4663" max="4864" width="6.85546875" style="29"/>
    <col min="4865" max="4865" width="7.85546875" style="29" customWidth="1"/>
    <col min="4866" max="4866" width="0" style="29" hidden="1" customWidth="1"/>
    <col min="4867" max="4867" width="7.42578125" style="29" customWidth="1"/>
    <col min="4868" max="4868" width="1.42578125" style="29" customWidth="1"/>
    <col min="4869" max="4869" width="3.5703125" style="29" customWidth="1"/>
    <col min="4870" max="4871" width="0" style="29" hidden="1" customWidth="1"/>
    <col min="4872" max="4873" width="1.7109375" style="29" customWidth="1"/>
    <col min="4874" max="4874" width="6.85546875" style="29" customWidth="1"/>
    <col min="4875" max="4875" width="24.85546875" style="29" customWidth="1"/>
    <col min="4876" max="4876" width="18.85546875" style="29" bestFit="1" customWidth="1"/>
    <col min="4877" max="4891" width="0" style="29" hidden="1" customWidth="1"/>
    <col min="4892" max="4893" width="18.85546875" style="29" bestFit="1" customWidth="1"/>
    <col min="4894" max="4900" width="0" style="29" hidden="1" customWidth="1"/>
    <col min="4901" max="4901" width="17" style="29" customWidth="1"/>
    <col min="4902" max="4903" width="13.5703125" style="29" customWidth="1"/>
    <col min="4904" max="4904" width="14.7109375" style="29" customWidth="1"/>
    <col min="4905" max="4905" width="13.5703125" style="29" customWidth="1"/>
    <col min="4906" max="4906" width="14" style="29" customWidth="1"/>
    <col min="4907" max="4908" width="13.5703125" style="29" customWidth="1"/>
    <col min="4909" max="4909" width="13.28515625" style="29" customWidth="1"/>
    <col min="4910" max="4914" width="0" style="29" hidden="1" customWidth="1"/>
    <col min="4915" max="4915" width="9" style="29" customWidth="1"/>
    <col min="4916" max="4916" width="17.7109375" style="29" customWidth="1"/>
    <col min="4917" max="4917" width="15" style="29" customWidth="1"/>
    <col min="4918" max="4918" width="17.28515625" style="29" customWidth="1"/>
    <col min="4919" max="5120" width="6.85546875" style="29"/>
    <col min="5121" max="5121" width="7.85546875" style="29" customWidth="1"/>
    <col min="5122" max="5122" width="0" style="29" hidden="1" customWidth="1"/>
    <col min="5123" max="5123" width="7.42578125" style="29" customWidth="1"/>
    <col min="5124" max="5124" width="1.42578125" style="29" customWidth="1"/>
    <col min="5125" max="5125" width="3.5703125" style="29" customWidth="1"/>
    <col min="5126" max="5127" width="0" style="29" hidden="1" customWidth="1"/>
    <col min="5128" max="5129" width="1.7109375" style="29" customWidth="1"/>
    <col min="5130" max="5130" width="6.85546875" style="29" customWidth="1"/>
    <col min="5131" max="5131" width="24.85546875" style="29" customWidth="1"/>
    <col min="5132" max="5132" width="18.85546875" style="29" bestFit="1" customWidth="1"/>
    <col min="5133" max="5147" width="0" style="29" hidden="1" customWidth="1"/>
    <col min="5148" max="5149" width="18.85546875" style="29" bestFit="1" customWidth="1"/>
    <col min="5150" max="5156" width="0" style="29" hidden="1" customWidth="1"/>
    <col min="5157" max="5157" width="17" style="29" customWidth="1"/>
    <col min="5158" max="5159" width="13.5703125" style="29" customWidth="1"/>
    <col min="5160" max="5160" width="14.7109375" style="29" customWidth="1"/>
    <col min="5161" max="5161" width="13.5703125" style="29" customWidth="1"/>
    <col min="5162" max="5162" width="14" style="29" customWidth="1"/>
    <col min="5163" max="5164" width="13.5703125" style="29" customWidth="1"/>
    <col min="5165" max="5165" width="13.28515625" style="29" customWidth="1"/>
    <col min="5166" max="5170" width="0" style="29" hidden="1" customWidth="1"/>
    <col min="5171" max="5171" width="9" style="29" customWidth="1"/>
    <col min="5172" max="5172" width="17.7109375" style="29" customWidth="1"/>
    <col min="5173" max="5173" width="15" style="29" customWidth="1"/>
    <col min="5174" max="5174" width="17.28515625" style="29" customWidth="1"/>
    <col min="5175" max="5376" width="6.85546875" style="29"/>
    <col min="5377" max="5377" width="7.85546875" style="29" customWidth="1"/>
    <col min="5378" max="5378" width="0" style="29" hidden="1" customWidth="1"/>
    <col min="5379" max="5379" width="7.42578125" style="29" customWidth="1"/>
    <col min="5380" max="5380" width="1.42578125" style="29" customWidth="1"/>
    <col min="5381" max="5381" width="3.5703125" style="29" customWidth="1"/>
    <col min="5382" max="5383" width="0" style="29" hidden="1" customWidth="1"/>
    <col min="5384" max="5385" width="1.7109375" style="29" customWidth="1"/>
    <col min="5386" max="5386" width="6.85546875" style="29" customWidth="1"/>
    <col min="5387" max="5387" width="24.85546875" style="29" customWidth="1"/>
    <col min="5388" max="5388" width="18.85546875" style="29" bestFit="1" customWidth="1"/>
    <col min="5389" max="5403" width="0" style="29" hidden="1" customWidth="1"/>
    <col min="5404" max="5405" width="18.85546875" style="29" bestFit="1" customWidth="1"/>
    <col min="5406" max="5412" width="0" style="29" hidden="1" customWidth="1"/>
    <col min="5413" max="5413" width="17" style="29" customWidth="1"/>
    <col min="5414" max="5415" width="13.5703125" style="29" customWidth="1"/>
    <col min="5416" max="5416" width="14.7109375" style="29" customWidth="1"/>
    <col min="5417" max="5417" width="13.5703125" style="29" customWidth="1"/>
    <col min="5418" max="5418" width="14" style="29" customWidth="1"/>
    <col min="5419" max="5420" width="13.5703125" style="29" customWidth="1"/>
    <col min="5421" max="5421" width="13.28515625" style="29" customWidth="1"/>
    <col min="5422" max="5426" width="0" style="29" hidden="1" customWidth="1"/>
    <col min="5427" max="5427" width="9" style="29" customWidth="1"/>
    <col min="5428" max="5428" width="17.7109375" style="29" customWidth="1"/>
    <col min="5429" max="5429" width="15" style="29" customWidth="1"/>
    <col min="5430" max="5430" width="17.28515625" style="29" customWidth="1"/>
    <col min="5431" max="5632" width="6.85546875" style="29"/>
    <col min="5633" max="5633" width="7.85546875" style="29" customWidth="1"/>
    <col min="5634" max="5634" width="0" style="29" hidden="1" customWidth="1"/>
    <col min="5635" max="5635" width="7.42578125" style="29" customWidth="1"/>
    <col min="5636" max="5636" width="1.42578125" style="29" customWidth="1"/>
    <col min="5637" max="5637" width="3.5703125" style="29" customWidth="1"/>
    <col min="5638" max="5639" width="0" style="29" hidden="1" customWidth="1"/>
    <col min="5640" max="5641" width="1.7109375" style="29" customWidth="1"/>
    <col min="5642" max="5642" width="6.85546875" style="29" customWidth="1"/>
    <col min="5643" max="5643" width="24.85546875" style="29" customWidth="1"/>
    <col min="5644" max="5644" width="18.85546875" style="29" bestFit="1" customWidth="1"/>
    <col min="5645" max="5659" width="0" style="29" hidden="1" customWidth="1"/>
    <col min="5660" max="5661" width="18.85546875" style="29" bestFit="1" customWidth="1"/>
    <col min="5662" max="5668" width="0" style="29" hidden="1" customWidth="1"/>
    <col min="5669" max="5669" width="17" style="29" customWidth="1"/>
    <col min="5670" max="5671" width="13.5703125" style="29" customWidth="1"/>
    <col min="5672" max="5672" width="14.7109375" style="29" customWidth="1"/>
    <col min="5673" max="5673" width="13.5703125" style="29" customWidth="1"/>
    <col min="5674" max="5674" width="14" style="29" customWidth="1"/>
    <col min="5675" max="5676" width="13.5703125" style="29" customWidth="1"/>
    <col min="5677" max="5677" width="13.28515625" style="29" customWidth="1"/>
    <col min="5678" max="5682" width="0" style="29" hidden="1" customWidth="1"/>
    <col min="5683" max="5683" width="9" style="29" customWidth="1"/>
    <col min="5684" max="5684" width="17.7109375" style="29" customWidth="1"/>
    <col min="5685" max="5685" width="15" style="29" customWidth="1"/>
    <col min="5686" max="5686" width="17.28515625" style="29" customWidth="1"/>
    <col min="5687" max="5888" width="6.85546875" style="29"/>
    <col min="5889" max="5889" width="7.85546875" style="29" customWidth="1"/>
    <col min="5890" max="5890" width="0" style="29" hidden="1" customWidth="1"/>
    <col min="5891" max="5891" width="7.42578125" style="29" customWidth="1"/>
    <col min="5892" max="5892" width="1.42578125" style="29" customWidth="1"/>
    <col min="5893" max="5893" width="3.5703125" style="29" customWidth="1"/>
    <col min="5894" max="5895" width="0" style="29" hidden="1" customWidth="1"/>
    <col min="5896" max="5897" width="1.7109375" style="29" customWidth="1"/>
    <col min="5898" max="5898" width="6.85546875" style="29" customWidth="1"/>
    <col min="5899" max="5899" width="24.85546875" style="29" customWidth="1"/>
    <col min="5900" max="5900" width="18.85546875" style="29" bestFit="1" customWidth="1"/>
    <col min="5901" max="5915" width="0" style="29" hidden="1" customWidth="1"/>
    <col min="5916" max="5917" width="18.85546875" style="29" bestFit="1" customWidth="1"/>
    <col min="5918" max="5924" width="0" style="29" hidden="1" customWidth="1"/>
    <col min="5925" max="5925" width="17" style="29" customWidth="1"/>
    <col min="5926" max="5927" width="13.5703125" style="29" customWidth="1"/>
    <col min="5928" max="5928" width="14.7109375" style="29" customWidth="1"/>
    <col min="5929" max="5929" width="13.5703125" style="29" customWidth="1"/>
    <col min="5930" max="5930" width="14" style="29" customWidth="1"/>
    <col min="5931" max="5932" width="13.5703125" style="29" customWidth="1"/>
    <col min="5933" max="5933" width="13.28515625" style="29" customWidth="1"/>
    <col min="5934" max="5938" width="0" style="29" hidden="1" customWidth="1"/>
    <col min="5939" max="5939" width="9" style="29" customWidth="1"/>
    <col min="5940" max="5940" width="17.7109375" style="29" customWidth="1"/>
    <col min="5941" max="5941" width="15" style="29" customWidth="1"/>
    <col min="5942" max="5942" width="17.28515625" style="29" customWidth="1"/>
    <col min="5943" max="6144" width="6.85546875" style="29"/>
    <col min="6145" max="6145" width="7.85546875" style="29" customWidth="1"/>
    <col min="6146" max="6146" width="0" style="29" hidden="1" customWidth="1"/>
    <col min="6147" max="6147" width="7.42578125" style="29" customWidth="1"/>
    <col min="6148" max="6148" width="1.42578125" style="29" customWidth="1"/>
    <col min="6149" max="6149" width="3.5703125" style="29" customWidth="1"/>
    <col min="6150" max="6151" width="0" style="29" hidden="1" customWidth="1"/>
    <col min="6152" max="6153" width="1.7109375" style="29" customWidth="1"/>
    <col min="6154" max="6154" width="6.85546875" style="29" customWidth="1"/>
    <col min="6155" max="6155" width="24.85546875" style="29" customWidth="1"/>
    <col min="6156" max="6156" width="18.85546875" style="29" bestFit="1" customWidth="1"/>
    <col min="6157" max="6171" width="0" style="29" hidden="1" customWidth="1"/>
    <col min="6172" max="6173" width="18.85546875" style="29" bestFit="1" customWidth="1"/>
    <col min="6174" max="6180" width="0" style="29" hidden="1" customWidth="1"/>
    <col min="6181" max="6181" width="17" style="29" customWidth="1"/>
    <col min="6182" max="6183" width="13.5703125" style="29" customWidth="1"/>
    <col min="6184" max="6184" width="14.7109375" style="29" customWidth="1"/>
    <col min="6185" max="6185" width="13.5703125" style="29" customWidth="1"/>
    <col min="6186" max="6186" width="14" style="29" customWidth="1"/>
    <col min="6187" max="6188" width="13.5703125" style="29" customWidth="1"/>
    <col min="6189" max="6189" width="13.28515625" style="29" customWidth="1"/>
    <col min="6190" max="6194" width="0" style="29" hidden="1" customWidth="1"/>
    <col min="6195" max="6195" width="9" style="29" customWidth="1"/>
    <col min="6196" max="6196" width="17.7109375" style="29" customWidth="1"/>
    <col min="6197" max="6197" width="15" style="29" customWidth="1"/>
    <col min="6198" max="6198" width="17.28515625" style="29" customWidth="1"/>
    <col min="6199" max="6400" width="6.85546875" style="29"/>
    <col min="6401" max="6401" width="7.85546875" style="29" customWidth="1"/>
    <col min="6402" max="6402" width="0" style="29" hidden="1" customWidth="1"/>
    <col min="6403" max="6403" width="7.42578125" style="29" customWidth="1"/>
    <col min="6404" max="6404" width="1.42578125" style="29" customWidth="1"/>
    <col min="6405" max="6405" width="3.5703125" style="29" customWidth="1"/>
    <col min="6406" max="6407" width="0" style="29" hidden="1" customWidth="1"/>
    <col min="6408" max="6409" width="1.7109375" style="29" customWidth="1"/>
    <col min="6410" max="6410" width="6.85546875" style="29" customWidth="1"/>
    <col min="6411" max="6411" width="24.85546875" style="29" customWidth="1"/>
    <col min="6412" max="6412" width="18.85546875" style="29" bestFit="1" customWidth="1"/>
    <col min="6413" max="6427" width="0" style="29" hidden="1" customWidth="1"/>
    <col min="6428" max="6429" width="18.85546875" style="29" bestFit="1" customWidth="1"/>
    <col min="6430" max="6436" width="0" style="29" hidden="1" customWidth="1"/>
    <col min="6437" max="6437" width="17" style="29" customWidth="1"/>
    <col min="6438" max="6439" width="13.5703125" style="29" customWidth="1"/>
    <col min="6440" max="6440" width="14.7109375" style="29" customWidth="1"/>
    <col min="6441" max="6441" width="13.5703125" style="29" customWidth="1"/>
    <col min="6442" max="6442" width="14" style="29" customWidth="1"/>
    <col min="6443" max="6444" width="13.5703125" style="29" customWidth="1"/>
    <col min="6445" max="6445" width="13.28515625" style="29" customWidth="1"/>
    <col min="6446" max="6450" width="0" style="29" hidden="1" customWidth="1"/>
    <col min="6451" max="6451" width="9" style="29" customWidth="1"/>
    <col min="6452" max="6452" width="17.7109375" style="29" customWidth="1"/>
    <col min="6453" max="6453" width="15" style="29" customWidth="1"/>
    <col min="6454" max="6454" width="17.28515625" style="29" customWidth="1"/>
    <col min="6455" max="6656" width="6.85546875" style="29"/>
    <col min="6657" max="6657" width="7.85546875" style="29" customWidth="1"/>
    <col min="6658" max="6658" width="0" style="29" hidden="1" customWidth="1"/>
    <col min="6659" max="6659" width="7.42578125" style="29" customWidth="1"/>
    <col min="6660" max="6660" width="1.42578125" style="29" customWidth="1"/>
    <col min="6661" max="6661" width="3.5703125" style="29" customWidth="1"/>
    <col min="6662" max="6663" width="0" style="29" hidden="1" customWidth="1"/>
    <col min="6664" max="6665" width="1.7109375" style="29" customWidth="1"/>
    <col min="6666" max="6666" width="6.85546875" style="29" customWidth="1"/>
    <col min="6667" max="6667" width="24.85546875" style="29" customWidth="1"/>
    <col min="6668" max="6668" width="18.85546875" style="29" bestFit="1" customWidth="1"/>
    <col min="6669" max="6683" width="0" style="29" hidden="1" customWidth="1"/>
    <col min="6684" max="6685" width="18.85546875" style="29" bestFit="1" customWidth="1"/>
    <col min="6686" max="6692" width="0" style="29" hidden="1" customWidth="1"/>
    <col min="6693" max="6693" width="17" style="29" customWidth="1"/>
    <col min="6694" max="6695" width="13.5703125" style="29" customWidth="1"/>
    <col min="6696" max="6696" width="14.7109375" style="29" customWidth="1"/>
    <col min="6697" max="6697" width="13.5703125" style="29" customWidth="1"/>
    <col min="6698" max="6698" width="14" style="29" customWidth="1"/>
    <col min="6699" max="6700" width="13.5703125" style="29" customWidth="1"/>
    <col min="6701" max="6701" width="13.28515625" style="29" customWidth="1"/>
    <col min="6702" max="6706" width="0" style="29" hidden="1" customWidth="1"/>
    <col min="6707" max="6707" width="9" style="29" customWidth="1"/>
    <col min="6708" max="6708" width="17.7109375" style="29" customWidth="1"/>
    <col min="6709" max="6709" width="15" style="29" customWidth="1"/>
    <col min="6710" max="6710" width="17.28515625" style="29" customWidth="1"/>
    <col min="6711" max="6912" width="6.85546875" style="29"/>
    <col min="6913" max="6913" width="7.85546875" style="29" customWidth="1"/>
    <col min="6914" max="6914" width="0" style="29" hidden="1" customWidth="1"/>
    <col min="6915" max="6915" width="7.42578125" style="29" customWidth="1"/>
    <col min="6916" max="6916" width="1.42578125" style="29" customWidth="1"/>
    <col min="6917" max="6917" width="3.5703125" style="29" customWidth="1"/>
    <col min="6918" max="6919" width="0" style="29" hidden="1" customWidth="1"/>
    <col min="6920" max="6921" width="1.7109375" style="29" customWidth="1"/>
    <col min="6922" max="6922" width="6.85546875" style="29" customWidth="1"/>
    <col min="6923" max="6923" width="24.85546875" style="29" customWidth="1"/>
    <col min="6924" max="6924" width="18.85546875" style="29" bestFit="1" customWidth="1"/>
    <col min="6925" max="6939" width="0" style="29" hidden="1" customWidth="1"/>
    <col min="6940" max="6941" width="18.85546875" style="29" bestFit="1" customWidth="1"/>
    <col min="6942" max="6948" width="0" style="29" hidden="1" customWidth="1"/>
    <col min="6949" max="6949" width="17" style="29" customWidth="1"/>
    <col min="6950" max="6951" width="13.5703125" style="29" customWidth="1"/>
    <col min="6952" max="6952" width="14.7109375" style="29" customWidth="1"/>
    <col min="6953" max="6953" width="13.5703125" style="29" customWidth="1"/>
    <col min="6954" max="6954" width="14" style="29" customWidth="1"/>
    <col min="6955" max="6956" width="13.5703125" style="29" customWidth="1"/>
    <col min="6957" max="6957" width="13.28515625" style="29" customWidth="1"/>
    <col min="6958" max="6962" width="0" style="29" hidden="1" customWidth="1"/>
    <col min="6963" max="6963" width="9" style="29" customWidth="1"/>
    <col min="6964" max="6964" width="17.7109375" style="29" customWidth="1"/>
    <col min="6965" max="6965" width="15" style="29" customWidth="1"/>
    <col min="6966" max="6966" width="17.28515625" style="29" customWidth="1"/>
    <col min="6967" max="7168" width="6.85546875" style="29"/>
    <col min="7169" max="7169" width="7.85546875" style="29" customWidth="1"/>
    <col min="7170" max="7170" width="0" style="29" hidden="1" customWidth="1"/>
    <col min="7171" max="7171" width="7.42578125" style="29" customWidth="1"/>
    <col min="7172" max="7172" width="1.42578125" style="29" customWidth="1"/>
    <col min="7173" max="7173" width="3.5703125" style="29" customWidth="1"/>
    <col min="7174" max="7175" width="0" style="29" hidden="1" customWidth="1"/>
    <col min="7176" max="7177" width="1.7109375" style="29" customWidth="1"/>
    <col min="7178" max="7178" width="6.85546875" style="29" customWidth="1"/>
    <col min="7179" max="7179" width="24.85546875" style="29" customWidth="1"/>
    <col min="7180" max="7180" width="18.85546875" style="29" bestFit="1" customWidth="1"/>
    <col min="7181" max="7195" width="0" style="29" hidden="1" customWidth="1"/>
    <col min="7196" max="7197" width="18.85546875" style="29" bestFit="1" customWidth="1"/>
    <col min="7198" max="7204" width="0" style="29" hidden="1" customWidth="1"/>
    <col min="7205" max="7205" width="17" style="29" customWidth="1"/>
    <col min="7206" max="7207" width="13.5703125" style="29" customWidth="1"/>
    <col min="7208" max="7208" width="14.7109375" style="29" customWidth="1"/>
    <col min="7209" max="7209" width="13.5703125" style="29" customWidth="1"/>
    <col min="7210" max="7210" width="14" style="29" customWidth="1"/>
    <col min="7211" max="7212" width="13.5703125" style="29" customWidth="1"/>
    <col min="7213" max="7213" width="13.28515625" style="29" customWidth="1"/>
    <col min="7214" max="7218" width="0" style="29" hidden="1" customWidth="1"/>
    <col min="7219" max="7219" width="9" style="29" customWidth="1"/>
    <col min="7220" max="7220" width="17.7109375" style="29" customWidth="1"/>
    <col min="7221" max="7221" width="15" style="29" customWidth="1"/>
    <col min="7222" max="7222" width="17.28515625" style="29" customWidth="1"/>
    <col min="7223" max="7424" width="6.85546875" style="29"/>
    <col min="7425" max="7425" width="7.85546875" style="29" customWidth="1"/>
    <col min="7426" max="7426" width="0" style="29" hidden="1" customWidth="1"/>
    <col min="7427" max="7427" width="7.42578125" style="29" customWidth="1"/>
    <col min="7428" max="7428" width="1.42578125" style="29" customWidth="1"/>
    <col min="7429" max="7429" width="3.5703125" style="29" customWidth="1"/>
    <col min="7430" max="7431" width="0" style="29" hidden="1" customWidth="1"/>
    <col min="7432" max="7433" width="1.7109375" style="29" customWidth="1"/>
    <col min="7434" max="7434" width="6.85546875" style="29" customWidth="1"/>
    <col min="7435" max="7435" width="24.85546875" style="29" customWidth="1"/>
    <col min="7436" max="7436" width="18.85546875" style="29" bestFit="1" customWidth="1"/>
    <col min="7437" max="7451" width="0" style="29" hidden="1" customWidth="1"/>
    <col min="7452" max="7453" width="18.85546875" style="29" bestFit="1" customWidth="1"/>
    <col min="7454" max="7460" width="0" style="29" hidden="1" customWidth="1"/>
    <col min="7461" max="7461" width="17" style="29" customWidth="1"/>
    <col min="7462" max="7463" width="13.5703125" style="29" customWidth="1"/>
    <col min="7464" max="7464" width="14.7109375" style="29" customWidth="1"/>
    <col min="7465" max="7465" width="13.5703125" style="29" customWidth="1"/>
    <col min="7466" max="7466" width="14" style="29" customWidth="1"/>
    <col min="7467" max="7468" width="13.5703125" style="29" customWidth="1"/>
    <col min="7469" max="7469" width="13.28515625" style="29" customWidth="1"/>
    <col min="7470" max="7474" width="0" style="29" hidden="1" customWidth="1"/>
    <col min="7475" max="7475" width="9" style="29" customWidth="1"/>
    <col min="7476" max="7476" width="17.7109375" style="29" customWidth="1"/>
    <col min="7477" max="7477" width="15" style="29" customWidth="1"/>
    <col min="7478" max="7478" width="17.28515625" style="29" customWidth="1"/>
    <col min="7479" max="7680" width="6.85546875" style="29"/>
    <col min="7681" max="7681" width="7.85546875" style="29" customWidth="1"/>
    <col min="7682" max="7682" width="0" style="29" hidden="1" customWidth="1"/>
    <col min="7683" max="7683" width="7.42578125" style="29" customWidth="1"/>
    <col min="7684" max="7684" width="1.42578125" style="29" customWidth="1"/>
    <col min="7685" max="7685" width="3.5703125" style="29" customWidth="1"/>
    <col min="7686" max="7687" width="0" style="29" hidden="1" customWidth="1"/>
    <col min="7688" max="7689" width="1.7109375" style="29" customWidth="1"/>
    <col min="7690" max="7690" width="6.85546875" style="29" customWidth="1"/>
    <col min="7691" max="7691" width="24.85546875" style="29" customWidth="1"/>
    <col min="7692" max="7692" width="18.85546875" style="29" bestFit="1" customWidth="1"/>
    <col min="7693" max="7707" width="0" style="29" hidden="1" customWidth="1"/>
    <col min="7708" max="7709" width="18.85546875" style="29" bestFit="1" customWidth="1"/>
    <col min="7710" max="7716" width="0" style="29" hidden="1" customWidth="1"/>
    <col min="7717" max="7717" width="17" style="29" customWidth="1"/>
    <col min="7718" max="7719" width="13.5703125" style="29" customWidth="1"/>
    <col min="7720" max="7720" width="14.7109375" style="29" customWidth="1"/>
    <col min="7721" max="7721" width="13.5703125" style="29" customWidth="1"/>
    <col min="7722" max="7722" width="14" style="29" customWidth="1"/>
    <col min="7723" max="7724" width="13.5703125" style="29" customWidth="1"/>
    <col min="7725" max="7725" width="13.28515625" style="29" customWidth="1"/>
    <col min="7726" max="7730" width="0" style="29" hidden="1" customWidth="1"/>
    <col min="7731" max="7731" width="9" style="29" customWidth="1"/>
    <col min="7732" max="7732" width="17.7109375" style="29" customWidth="1"/>
    <col min="7733" max="7733" width="15" style="29" customWidth="1"/>
    <col min="7734" max="7734" width="17.28515625" style="29" customWidth="1"/>
    <col min="7735" max="7936" width="6.85546875" style="29"/>
    <col min="7937" max="7937" width="7.85546875" style="29" customWidth="1"/>
    <col min="7938" max="7938" width="0" style="29" hidden="1" customWidth="1"/>
    <col min="7939" max="7939" width="7.42578125" style="29" customWidth="1"/>
    <col min="7940" max="7940" width="1.42578125" style="29" customWidth="1"/>
    <col min="7941" max="7941" width="3.5703125" style="29" customWidth="1"/>
    <col min="7942" max="7943" width="0" style="29" hidden="1" customWidth="1"/>
    <col min="7944" max="7945" width="1.7109375" style="29" customWidth="1"/>
    <col min="7946" max="7946" width="6.85546875" style="29" customWidth="1"/>
    <col min="7947" max="7947" width="24.85546875" style="29" customWidth="1"/>
    <col min="7948" max="7948" width="18.85546875" style="29" bestFit="1" customWidth="1"/>
    <col min="7949" max="7963" width="0" style="29" hidden="1" customWidth="1"/>
    <col min="7964" max="7965" width="18.85546875" style="29" bestFit="1" customWidth="1"/>
    <col min="7966" max="7972" width="0" style="29" hidden="1" customWidth="1"/>
    <col min="7973" max="7973" width="17" style="29" customWidth="1"/>
    <col min="7974" max="7975" width="13.5703125" style="29" customWidth="1"/>
    <col min="7976" max="7976" width="14.7109375" style="29" customWidth="1"/>
    <col min="7977" max="7977" width="13.5703125" style="29" customWidth="1"/>
    <col min="7978" max="7978" width="14" style="29" customWidth="1"/>
    <col min="7979" max="7980" width="13.5703125" style="29" customWidth="1"/>
    <col min="7981" max="7981" width="13.28515625" style="29" customWidth="1"/>
    <col min="7982" max="7986" width="0" style="29" hidden="1" customWidth="1"/>
    <col min="7987" max="7987" width="9" style="29" customWidth="1"/>
    <col min="7988" max="7988" width="17.7109375" style="29" customWidth="1"/>
    <col min="7989" max="7989" width="15" style="29" customWidth="1"/>
    <col min="7990" max="7990" width="17.28515625" style="29" customWidth="1"/>
    <col min="7991" max="8192" width="6.85546875" style="29"/>
    <col min="8193" max="8193" width="7.85546875" style="29" customWidth="1"/>
    <col min="8194" max="8194" width="0" style="29" hidden="1" customWidth="1"/>
    <col min="8195" max="8195" width="7.42578125" style="29" customWidth="1"/>
    <col min="8196" max="8196" width="1.42578125" style="29" customWidth="1"/>
    <col min="8197" max="8197" width="3.5703125" style="29" customWidth="1"/>
    <col min="8198" max="8199" width="0" style="29" hidden="1" customWidth="1"/>
    <col min="8200" max="8201" width="1.7109375" style="29" customWidth="1"/>
    <col min="8202" max="8202" width="6.85546875" style="29" customWidth="1"/>
    <col min="8203" max="8203" width="24.85546875" style="29" customWidth="1"/>
    <col min="8204" max="8204" width="18.85546875" style="29" bestFit="1" customWidth="1"/>
    <col min="8205" max="8219" width="0" style="29" hidden="1" customWidth="1"/>
    <col min="8220" max="8221" width="18.85546875" style="29" bestFit="1" customWidth="1"/>
    <col min="8222" max="8228" width="0" style="29" hidden="1" customWidth="1"/>
    <col min="8229" max="8229" width="17" style="29" customWidth="1"/>
    <col min="8230" max="8231" width="13.5703125" style="29" customWidth="1"/>
    <col min="8232" max="8232" width="14.7109375" style="29" customWidth="1"/>
    <col min="8233" max="8233" width="13.5703125" style="29" customWidth="1"/>
    <col min="8234" max="8234" width="14" style="29" customWidth="1"/>
    <col min="8235" max="8236" width="13.5703125" style="29" customWidth="1"/>
    <col min="8237" max="8237" width="13.28515625" style="29" customWidth="1"/>
    <col min="8238" max="8242" width="0" style="29" hidden="1" customWidth="1"/>
    <col min="8243" max="8243" width="9" style="29" customWidth="1"/>
    <col min="8244" max="8244" width="17.7109375" style="29" customWidth="1"/>
    <col min="8245" max="8245" width="15" style="29" customWidth="1"/>
    <col min="8246" max="8246" width="17.28515625" style="29" customWidth="1"/>
    <col min="8247" max="8448" width="6.85546875" style="29"/>
    <col min="8449" max="8449" width="7.85546875" style="29" customWidth="1"/>
    <col min="8450" max="8450" width="0" style="29" hidden="1" customWidth="1"/>
    <col min="8451" max="8451" width="7.42578125" style="29" customWidth="1"/>
    <col min="8452" max="8452" width="1.42578125" style="29" customWidth="1"/>
    <col min="8453" max="8453" width="3.5703125" style="29" customWidth="1"/>
    <col min="8454" max="8455" width="0" style="29" hidden="1" customWidth="1"/>
    <col min="8456" max="8457" width="1.7109375" style="29" customWidth="1"/>
    <col min="8458" max="8458" width="6.85546875" style="29" customWidth="1"/>
    <col min="8459" max="8459" width="24.85546875" style="29" customWidth="1"/>
    <col min="8460" max="8460" width="18.85546875" style="29" bestFit="1" customWidth="1"/>
    <col min="8461" max="8475" width="0" style="29" hidden="1" customWidth="1"/>
    <col min="8476" max="8477" width="18.85546875" style="29" bestFit="1" customWidth="1"/>
    <col min="8478" max="8484" width="0" style="29" hidden="1" customWidth="1"/>
    <col min="8485" max="8485" width="17" style="29" customWidth="1"/>
    <col min="8486" max="8487" width="13.5703125" style="29" customWidth="1"/>
    <col min="8488" max="8488" width="14.7109375" style="29" customWidth="1"/>
    <col min="8489" max="8489" width="13.5703125" style="29" customWidth="1"/>
    <col min="8490" max="8490" width="14" style="29" customWidth="1"/>
    <col min="8491" max="8492" width="13.5703125" style="29" customWidth="1"/>
    <col min="8493" max="8493" width="13.28515625" style="29" customWidth="1"/>
    <col min="8494" max="8498" width="0" style="29" hidden="1" customWidth="1"/>
    <col min="8499" max="8499" width="9" style="29" customWidth="1"/>
    <col min="8500" max="8500" width="17.7109375" style="29" customWidth="1"/>
    <col min="8501" max="8501" width="15" style="29" customWidth="1"/>
    <col min="8502" max="8502" width="17.28515625" style="29" customWidth="1"/>
    <col min="8503" max="8704" width="6.85546875" style="29"/>
    <col min="8705" max="8705" width="7.85546875" style="29" customWidth="1"/>
    <col min="8706" max="8706" width="0" style="29" hidden="1" customWidth="1"/>
    <col min="8707" max="8707" width="7.42578125" style="29" customWidth="1"/>
    <col min="8708" max="8708" width="1.42578125" style="29" customWidth="1"/>
    <col min="8709" max="8709" width="3.5703125" style="29" customWidth="1"/>
    <col min="8710" max="8711" width="0" style="29" hidden="1" customWidth="1"/>
    <col min="8712" max="8713" width="1.7109375" style="29" customWidth="1"/>
    <col min="8714" max="8714" width="6.85546875" style="29" customWidth="1"/>
    <col min="8715" max="8715" width="24.85546875" style="29" customWidth="1"/>
    <col min="8716" max="8716" width="18.85546875" style="29" bestFit="1" customWidth="1"/>
    <col min="8717" max="8731" width="0" style="29" hidden="1" customWidth="1"/>
    <col min="8732" max="8733" width="18.85546875" style="29" bestFit="1" customWidth="1"/>
    <col min="8734" max="8740" width="0" style="29" hidden="1" customWidth="1"/>
    <col min="8741" max="8741" width="17" style="29" customWidth="1"/>
    <col min="8742" max="8743" width="13.5703125" style="29" customWidth="1"/>
    <col min="8744" max="8744" width="14.7109375" style="29" customWidth="1"/>
    <col min="8745" max="8745" width="13.5703125" style="29" customWidth="1"/>
    <col min="8746" max="8746" width="14" style="29" customWidth="1"/>
    <col min="8747" max="8748" width="13.5703125" style="29" customWidth="1"/>
    <col min="8749" max="8749" width="13.28515625" style="29" customWidth="1"/>
    <col min="8750" max="8754" width="0" style="29" hidden="1" customWidth="1"/>
    <col min="8755" max="8755" width="9" style="29" customWidth="1"/>
    <col min="8756" max="8756" width="17.7109375" style="29" customWidth="1"/>
    <col min="8757" max="8757" width="15" style="29" customWidth="1"/>
    <col min="8758" max="8758" width="17.28515625" style="29" customWidth="1"/>
    <col min="8759" max="8960" width="6.85546875" style="29"/>
    <col min="8961" max="8961" width="7.85546875" style="29" customWidth="1"/>
    <col min="8962" max="8962" width="0" style="29" hidden="1" customWidth="1"/>
    <col min="8963" max="8963" width="7.42578125" style="29" customWidth="1"/>
    <col min="8964" max="8964" width="1.42578125" style="29" customWidth="1"/>
    <col min="8965" max="8965" width="3.5703125" style="29" customWidth="1"/>
    <col min="8966" max="8967" width="0" style="29" hidden="1" customWidth="1"/>
    <col min="8968" max="8969" width="1.7109375" style="29" customWidth="1"/>
    <col min="8970" max="8970" width="6.85546875" style="29" customWidth="1"/>
    <col min="8971" max="8971" width="24.85546875" style="29" customWidth="1"/>
    <col min="8972" max="8972" width="18.85546875" style="29" bestFit="1" customWidth="1"/>
    <col min="8973" max="8987" width="0" style="29" hidden="1" customWidth="1"/>
    <col min="8988" max="8989" width="18.85546875" style="29" bestFit="1" customWidth="1"/>
    <col min="8990" max="8996" width="0" style="29" hidden="1" customWidth="1"/>
    <col min="8997" max="8997" width="17" style="29" customWidth="1"/>
    <col min="8998" max="8999" width="13.5703125" style="29" customWidth="1"/>
    <col min="9000" max="9000" width="14.7109375" style="29" customWidth="1"/>
    <col min="9001" max="9001" width="13.5703125" style="29" customWidth="1"/>
    <col min="9002" max="9002" width="14" style="29" customWidth="1"/>
    <col min="9003" max="9004" width="13.5703125" style="29" customWidth="1"/>
    <col min="9005" max="9005" width="13.28515625" style="29" customWidth="1"/>
    <col min="9006" max="9010" width="0" style="29" hidden="1" customWidth="1"/>
    <col min="9011" max="9011" width="9" style="29" customWidth="1"/>
    <col min="9012" max="9012" width="17.7109375" style="29" customWidth="1"/>
    <col min="9013" max="9013" width="15" style="29" customWidth="1"/>
    <col min="9014" max="9014" width="17.28515625" style="29" customWidth="1"/>
    <col min="9015" max="9216" width="6.85546875" style="29"/>
    <col min="9217" max="9217" width="7.85546875" style="29" customWidth="1"/>
    <col min="9218" max="9218" width="0" style="29" hidden="1" customWidth="1"/>
    <col min="9219" max="9219" width="7.42578125" style="29" customWidth="1"/>
    <col min="9220" max="9220" width="1.42578125" style="29" customWidth="1"/>
    <col min="9221" max="9221" width="3.5703125" style="29" customWidth="1"/>
    <col min="9222" max="9223" width="0" style="29" hidden="1" customWidth="1"/>
    <col min="9224" max="9225" width="1.7109375" style="29" customWidth="1"/>
    <col min="9226" max="9226" width="6.85546875" style="29" customWidth="1"/>
    <col min="9227" max="9227" width="24.85546875" style="29" customWidth="1"/>
    <col min="9228" max="9228" width="18.85546875" style="29" bestFit="1" customWidth="1"/>
    <col min="9229" max="9243" width="0" style="29" hidden="1" customWidth="1"/>
    <col min="9244" max="9245" width="18.85546875" style="29" bestFit="1" customWidth="1"/>
    <col min="9246" max="9252" width="0" style="29" hidden="1" customWidth="1"/>
    <col min="9253" max="9253" width="17" style="29" customWidth="1"/>
    <col min="9254" max="9255" width="13.5703125" style="29" customWidth="1"/>
    <col min="9256" max="9256" width="14.7109375" style="29" customWidth="1"/>
    <col min="9257" max="9257" width="13.5703125" style="29" customWidth="1"/>
    <col min="9258" max="9258" width="14" style="29" customWidth="1"/>
    <col min="9259" max="9260" width="13.5703125" style="29" customWidth="1"/>
    <col min="9261" max="9261" width="13.28515625" style="29" customWidth="1"/>
    <col min="9262" max="9266" width="0" style="29" hidden="1" customWidth="1"/>
    <col min="9267" max="9267" width="9" style="29" customWidth="1"/>
    <col min="9268" max="9268" width="17.7109375" style="29" customWidth="1"/>
    <col min="9269" max="9269" width="15" style="29" customWidth="1"/>
    <col min="9270" max="9270" width="17.28515625" style="29" customWidth="1"/>
    <col min="9271" max="9472" width="6.85546875" style="29"/>
    <col min="9473" max="9473" width="7.85546875" style="29" customWidth="1"/>
    <col min="9474" max="9474" width="0" style="29" hidden="1" customWidth="1"/>
    <col min="9475" max="9475" width="7.42578125" style="29" customWidth="1"/>
    <col min="9476" max="9476" width="1.42578125" style="29" customWidth="1"/>
    <col min="9477" max="9477" width="3.5703125" style="29" customWidth="1"/>
    <col min="9478" max="9479" width="0" style="29" hidden="1" customWidth="1"/>
    <col min="9480" max="9481" width="1.7109375" style="29" customWidth="1"/>
    <col min="9482" max="9482" width="6.85546875" style="29" customWidth="1"/>
    <col min="9483" max="9483" width="24.85546875" style="29" customWidth="1"/>
    <col min="9484" max="9484" width="18.85546875" style="29" bestFit="1" customWidth="1"/>
    <col min="9485" max="9499" width="0" style="29" hidden="1" customWidth="1"/>
    <col min="9500" max="9501" width="18.85546875" style="29" bestFit="1" customWidth="1"/>
    <col min="9502" max="9508" width="0" style="29" hidden="1" customWidth="1"/>
    <col min="9509" max="9509" width="17" style="29" customWidth="1"/>
    <col min="9510" max="9511" width="13.5703125" style="29" customWidth="1"/>
    <col min="9512" max="9512" width="14.7109375" style="29" customWidth="1"/>
    <col min="9513" max="9513" width="13.5703125" style="29" customWidth="1"/>
    <col min="9514" max="9514" width="14" style="29" customWidth="1"/>
    <col min="9515" max="9516" width="13.5703125" style="29" customWidth="1"/>
    <col min="9517" max="9517" width="13.28515625" style="29" customWidth="1"/>
    <col min="9518" max="9522" width="0" style="29" hidden="1" customWidth="1"/>
    <col min="9523" max="9523" width="9" style="29" customWidth="1"/>
    <col min="9524" max="9524" width="17.7109375" style="29" customWidth="1"/>
    <col min="9525" max="9525" width="15" style="29" customWidth="1"/>
    <col min="9526" max="9526" width="17.28515625" style="29" customWidth="1"/>
    <col min="9527" max="9728" width="6.85546875" style="29"/>
    <col min="9729" max="9729" width="7.85546875" style="29" customWidth="1"/>
    <col min="9730" max="9730" width="0" style="29" hidden="1" customWidth="1"/>
    <col min="9731" max="9731" width="7.42578125" style="29" customWidth="1"/>
    <col min="9732" max="9732" width="1.42578125" style="29" customWidth="1"/>
    <col min="9733" max="9733" width="3.5703125" style="29" customWidth="1"/>
    <col min="9734" max="9735" width="0" style="29" hidden="1" customWidth="1"/>
    <col min="9736" max="9737" width="1.7109375" style="29" customWidth="1"/>
    <col min="9738" max="9738" width="6.85546875" style="29" customWidth="1"/>
    <col min="9739" max="9739" width="24.85546875" style="29" customWidth="1"/>
    <col min="9740" max="9740" width="18.85546875" style="29" bestFit="1" customWidth="1"/>
    <col min="9741" max="9755" width="0" style="29" hidden="1" customWidth="1"/>
    <col min="9756" max="9757" width="18.85546875" style="29" bestFit="1" customWidth="1"/>
    <col min="9758" max="9764" width="0" style="29" hidden="1" customWidth="1"/>
    <col min="9765" max="9765" width="17" style="29" customWidth="1"/>
    <col min="9766" max="9767" width="13.5703125" style="29" customWidth="1"/>
    <col min="9768" max="9768" width="14.7109375" style="29" customWidth="1"/>
    <col min="9769" max="9769" width="13.5703125" style="29" customWidth="1"/>
    <col min="9770" max="9770" width="14" style="29" customWidth="1"/>
    <col min="9771" max="9772" width="13.5703125" style="29" customWidth="1"/>
    <col min="9773" max="9773" width="13.28515625" style="29" customWidth="1"/>
    <col min="9774" max="9778" width="0" style="29" hidden="1" customWidth="1"/>
    <col min="9779" max="9779" width="9" style="29" customWidth="1"/>
    <col min="9780" max="9780" width="17.7109375" style="29" customWidth="1"/>
    <col min="9781" max="9781" width="15" style="29" customWidth="1"/>
    <col min="9782" max="9782" width="17.28515625" style="29" customWidth="1"/>
    <col min="9783" max="9984" width="6.85546875" style="29"/>
    <col min="9985" max="9985" width="7.85546875" style="29" customWidth="1"/>
    <col min="9986" max="9986" width="0" style="29" hidden="1" customWidth="1"/>
    <col min="9987" max="9987" width="7.42578125" style="29" customWidth="1"/>
    <col min="9988" max="9988" width="1.42578125" style="29" customWidth="1"/>
    <col min="9989" max="9989" width="3.5703125" style="29" customWidth="1"/>
    <col min="9990" max="9991" width="0" style="29" hidden="1" customWidth="1"/>
    <col min="9992" max="9993" width="1.7109375" style="29" customWidth="1"/>
    <col min="9994" max="9994" width="6.85546875" style="29" customWidth="1"/>
    <col min="9995" max="9995" width="24.85546875" style="29" customWidth="1"/>
    <col min="9996" max="9996" width="18.85546875" style="29" bestFit="1" customWidth="1"/>
    <col min="9997" max="10011" width="0" style="29" hidden="1" customWidth="1"/>
    <col min="10012" max="10013" width="18.85546875" style="29" bestFit="1" customWidth="1"/>
    <col min="10014" max="10020" width="0" style="29" hidden="1" customWidth="1"/>
    <col min="10021" max="10021" width="17" style="29" customWidth="1"/>
    <col min="10022" max="10023" width="13.5703125" style="29" customWidth="1"/>
    <col min="10024" max="10024" width="14.7109375" style="29" customWidth="1"/>
    <col min="10025" max="10025" width="13.5703125" style="29" customWidth="1"/>
    <col min="10026" max="10026" width="14" style="29" customWidth="1"/>
    <col min="10027" max="10028" width="13.5703125" style="29" customWidth="1"/>
    <col min="10029" max="10029" width="13.28515625" style="29" customWidth="1"/>
    <col min="10030" max="10034" width="0" style="29" hidden="1" customWidth="1"/>
    <col min="10035" max="10035" width="9" style="29" customWidth="1"/>
    <col min="10036" max="10036" width="17.7109375" style="29" customWidth="1"/>
    <col min="10037" max="10037" width="15" style="29" customWidth="1"/>
    <col min="10038" max="10038" width="17.28515625" style="29" customWidth="1"/>
    <col min="10039" max="10240" width="6.85546875" style="29"/>
    <col min="10241" max="10241" width="7.85546875" style="29" customWidth="1"/>
    <col min="10242" max="10242" width="0" style="29" hidden="1" customWidth="1"/>
    <col min="10243" max="10243" width="7.42578125" style="29" customWidth="1"/>
    <col min="10244" max="10244" width="1.42578125" style="29" customWidth="1"/>
    <col min="10245" max="10245" width="3.5703125" style="29" customWidth="1"/>
    <col min="10246" max="10247" width="0" style="29" hidden="1" customWidth="1"/>
    <col min="10248" max="10249" width="1.7109375" style="29" customWidth="1"/>
    <col min="10250" max="10250" width="6.85546875" style="29" customWidth="1"/>
    <col min="10251" max="10251" width="24.85546875" style="29" customWidth="1"/>
    <col min="10252" max="10252" width="18.85546875" style="29" bestFit="1" customWidth="1"/>
    <col min="10253" max="10267" width="0" style="29" hidden="1" customWidth="1"/>
    <col min="10268" max="10269" width="18.85546875" style="29" bestFit="1" customWidth="1"/>
    <col min="10270" max="10276" width="0" style="29" hidden="1" customWidth="1"/>
    <col min="10277" max="10277" width="17" style="29" customWidth="1"/>
    <col min="10278" max="10279" width="13.5703125" style="29" customWidth="1"/>
    <col min="10280" max="10280" width="14.7109375" style="29" customWidth="1"/>
    <col min="10281" max="10281" width="13.5703125" style="29" customWidth="1"/>
    <col min="10282" max="10282" width="14" style="29" customWidth="1"/>
    <col min="10283" max="10284" width="13.5703125" style="29" customWidth="1"/>
    <col min="10285" max="10285" width="13.28515625" style="29" customWidth="1"/>
    <col min="10286" max="10290" width="0" style="29" hidden="1" customWidth="1"/>
    <col min="10291" max="10291" width="9" style="29" customWidth="1"/>
    <col min="10292" max="10292" width="17.7109375" style="29" customWidth="1"/>
    <col min="10293" max="10293" width="15" style="29" customWidth="1"/>
    <col min="10294" max="10294" width="17.28515625" style="29" customWidth="1"/>
    <col min="10295" max="10496" width="6.85546875" style="29"/>
    <col min="10497" max="10497" width="7.85546875" style="29" customWidth="1"/>
    <col min="10498" max="10498" width="0" style="29" hidden="1" customWidth="1"/>
    <col min="10499" max="10499" width="7.42578125" style="29" customWidth="1"/>
    <col min="10500" max="10500" width="1.42578125" style="29" customWidth="1"/>
    <col min="10501" max="10501" width="3.5703125" style="29" customWidth="1"/>
    <col min="10502" max="10503" width="0" style="29" hidden="1" customWidth="1"/>
    <col min="10504" max="10505" width="1.7109375" style="29" customWidth="1"/>
    <col min="10506" max="10506" width="6.85546875" style="29" customWidth="1"/>
    <col min="10507" max="10507" width="24.85546875" style="29" customWidth="1"/>
    <col min="10508" max="10508" width="18.85546875" style="29" bestFit="1" customWidth="1"/>
    <col min="10509" max="10523" width="0" style="29" hidden="1" customWidth="1"/>
    <col min="10524" max="10525" width="18.85546875" style="29" bestFit="1" customWidth="1"/>
    <col min="10526" max="10532" width="0" style="29" hidden="1" customWidth="1"/>
    <col min="10533" max="10533" width="17" style="29" customWidth="1"/>
    <col min="10534" max="10535" width="13.5703125" style="29" customWidth="1"/>
    <col min="10536" max="10536" width="14.7109375" style="29" customWidth="1"/>
    <col min="10537" max="10537" width="13.5703125" style="29" customWidth="1"/>
    <col min="10538" max="10538" width="14" style="29" customWidth="1"/>
    <col min="10539" max="10540" width="13.5703125" style="29" customWidth="1"/>
    <col min="10541" max="10541" width="13.28515625" style="29" customWidth="1"/>
    <col min="10542" max="10546" width="0" style="29" hidden="1" customWidth="1"/>
    <col min="10547" max="10547" width="9" style="29" customWidth="1"/>
    <col min="10548" max="10548" width="17.7109375" style="29" customWidth="1"/>
    <col min="10549" max="10549" width="15" style="29" customWidth="1"/>
    <col min="10550" max="10550" width="17.28515625" style="29" customWidth="1"/>
    <col min="10551" max="10752" width="6.85546875" style="29"/>
    <col min="10753" max="10753" width="7.85546875" style="29" customWidth="1"/>
    <col min="10754" max="10754" width="0" style="29" hidden="1" customWidth="1"/>
    <col min="10755" max="10755" width="7.42578125" style="29" customWidth="1"/>
    <col min="10756" max="10756" width="1.42578125" style="29" customWidth="1"/>
    <col min="10757" max="10757" width="3.5703125" style="29" customWidth="1"/>
    <col min="10758" max="10759" width="0" style="29" hidden="1" customWidth="1"/>
    <col min="10760" max="10761" width="1.7109375" style="29" customWidth="1"/>
    <col min="10762" max="10762" width="6.85546875" style="29" customWidth="1"/>
    <col min="10763" max="10763" width="24.85546875" style="29" customWidth="1"/>
    <col min="10764" max="10764" width="18.85546875" style="29" bestFit="1" customWidth="1"/>
    <col min="10765" max="10779" width="0" style="29" hidden="1" customWidth="1"/>
    <col min="10780" max="10781" width="18.85546875" style="29" bestFit="1" customWidth="1"/>
    <col min="10782" max="10788" width="0" style="29" hidden="1" customWidth="1"/>
    <col min="10789" max="10789" width="17" style="29" customWidth="1"/>
    <col min="10790" max="10791" width="13.5703125" style="29" customWidth="1"/>
    <col min="10792" max="10792" width="14.7109375" style="29" customWidth="1"/>
    <col min="10793" max="10793" width="13.5703125" style="29" customWidth="1"/>
    <col min="10794" max="10794" width="14" style="29" customWidth="1"/>
    <col min="10795" max="10796" width="13.5703125" style="29" customWidth="1"/>
    <col min="10797" max="10797" width="13.28515625" style="29" customWidth="1"/>
    <col min="10798" max="10802" width="0" style="29" hidden="1" customWidth="1"/>
    <col min="10803" max="10803" width="9" style="29" customWidth="1"/>
    <col min="10804" max="10804" width="17.7109375" style="29" customWidth="1"/>
    <col min="10805" max="10805" width="15" style="29" customWidth="1"/>
    <col min="10806" max="10806" width="17.28515625" style="29" customWidth="1"/>
    <col min="10807" max="11008" width="6.85546875" style="29"/>
    <col min="11009" max="11009" width="7.85546875" style="29" customWidth="1"/>
    <col min="11010" max="11010" width="0" style="29" hidden="1" customWidth="1"/>
    <col min="11011" max="11011" width="7.42578125" style="29" customWidth="1"/>
    <col min="11012" max="11012" width="1.42578125" style="29" customWidth="1"/>
    <col min="11013" max="11013" width="3.5703125" style="29" customWidth="1"/>
    <col min="11014" max="11015" width="0" style="29" hidden="1" customWidth="1"/>
    <col min="11016" max="11017" width="1.7109375" style="29" customWidth="1"/>
    <col min="11018" max="11018" width="6.85546875" style="29" customWidth="1"/>
    <col min="11019" max="11019" width="24.85546875" style="29" customWidth="1"/>
    <col min="11020" max="11020" width="18.85546875" style="29" bestFit="1" customWidth="1"/>
    <col min="11021" max="11035" width="0" style="29" hidden="1" customWidth="1"/>
    <col min="11036" max="11037" width="18.85546875" style="29" bestFit="1" customWidth="1"/>
    <col min="11038" max="11044" width="0" style="29" hidden="1" customWidth="1"/>
    <col min="11045" max="11045" width="17" style="29" customWidth="1"/>
    <col min="11046" max="11047" width="13.5703125" style="29" customWidth="1"/>
    <col min="11048" max="11048" width="14.7109375" style="29" customWidth="1"/>
    <col min="11049" max="11049" width="13.5703125" style="29" customWidth="1"/>
    <col min="11050" max="11050" width="14" style="29" customWidth="1"/>
    <col min="11051" max="11052" width="13.5703125" style="29" customWidth="1"/>
    <col min="11053" max="11053" width="13.28515625" style="29" customWidth="1"/>
    <col min="11054" max="11058" width="0" style="29" hidden="1" customWidth="1"/>
    <col min="11059" max="11059" width="9" style="29" customWidth="1"/>
    <col min="11060" max="11060" width="17.7109375" style="29" customWidth="1"/>
    <col min="11061" max="11061" width="15" style="29" customWidth="1"/>
    <col min="11062" max="11062" width="17.28515625" style="29" customWidth="1"/>
    <col min="11063" max="11264" width="6.85546875" style="29"/>
    <col min="11265" max="11265" width="7.85546875" style="29" customWidth="1"/>
    <col min="11266" max="11266" width="0" style="29" hidden="1" customWidth="1"/>
    <col min="11267" max="11267" width="7.42578125" style="29" customWidth="1"/>
    <col min="11268" max="11268" width="1.42578125" style="29" customWidth="1"/>
    <col min="11269" max="11269" width="3.5703125" style="29" customWidth="1"/>
    <col min="11270" max="11271" width="0" style="29" hidden="1" customWidth="1"/>
    <col min="11272" max="11273" width="1.7109375" style="29" customWidth="1"/>
    <col min="11274" max="11274" width="6.85546875" style="29" customWidth="1"/>
    <col min="11275" max="11275" width="24.85546875" style="29" customWidth="1"/>
    <col min="11276" max="11276" width="18.85546875" style="29" bestFit="1" customWidth="1"/>
    <col min="11277" max="11291" width="0" style="29" hidden="1" customWidth="1"/>
    <col min="11292" max="11293" width="18.85546875" style="29" bestFit="1" customWidth="1"/>
    <col min="11294" max="11300" width="0" style="29" hidden="1" customWidth="1"/>
    <col min="11301" max="11301" width="17" style="29" customWidth="1"/>
    <col min="11302" max="11303" width="13.5703125" style="29" customWidth="1"/>
    <col min="11304" max="11304" width="14.7109375" style="29" customWidth="1"/>
    <col min="11305" max="11305" width="13.5703125" style="29" customWidth="1"/>
    <col min="11306" max="11306" width="14" style="29" customWidth="1"/>
    <col min="11307" max="11308" width="13.5703125" style="29" customWidth="1"/>
    <col min="11309" max="11309" width="13.28515625" style="29" customWidth="1"/>
    <col min="11310" max="11314" width="0" style="29" hidden="1" customWidth="1"/>
    <col min="11315" max="11315" width="9" style="29" customWidth="1"/>
    <col min="11316" max="11316" width="17.7109375" style="29" customWidth="1"/>
    <col min="11317" max="11317" width="15" style="29" customWidth="1"/>
    <col min="11318" max="11318" width="17.28515625" style="29" customWidth="1"/>
    <col min="11319" max="11520" width="6.85546875" style="29"/>
    <col min="11521" max="11521" width="7.85546875" style="29" customWidth="1"/>
    <col min="11522" max="11522" width="0" style="29" hidden="1" customWidth="1"/>
    <col min="11523" max="11523" width="7.42578125" style="29" customWidth="1"/>
    <col min="11524" max="11524" width="1.42578125" style="29" customWidth="1"/>
    <col min="11525" max="11525" width="3.5703125" style="29" customWidth="1"/>
    <col min="11526" max="11527" width="0" style="29" hidden="1" customWidth="1"/>
    <col min="11528" max="11529" width="1.7109375" style="29" customWidth="1"/>
    <col min="11530" max="11530" width="6.85546875" style="29" customWidth="1"/>
    <col min="11531" max="11531" width="24.85546875" style="29" customWidth="1"/>
    <col min="11532" max="11532" width="18.85546875" style="29" bestFit="1" customWidth="1"/>
    <col min="11533" max="11547" width="0" style="29" hidden="1" customWidth="1"/>
    <col min="11548" max="11549" width="18.85546875" style="29" bestFit="1" customWidth="1"/>
    <col min="11550" max="11556" width="0" style="29" hidden="1" customWidth="1"/>
    <col min="11557" max="11557" width="17" style="29" customWidth="1"/>
    <col min="11558" max="11559" width="13.5703125" style="29" customWidth="1"/>
    <col min="11560" max="11560" width="14.7109375" style="29" customWidth="1"/>
    <col min="11561" max="11561" width="13.5703125" style="29" customWidth="1"/>
    <col min="11562" max="11562" width="14" style="29" customWidth="1"/>
    <col min="11563" max="11564" width="13.5703125" style="29" customWidth="1"/>
    <col min="11565" max="11565" width="13.28515625" style="29" customWidth="1"/>
    <col min="11566" max="11570" width="0" style="29" hidden="1" customWidth="1"/>
    <col min="11571" max="11571" width="9" style="29" customWidth="1"/>
    <col min="11572" max="11572" width="17.7109375" style="29" customWidth="1"/>
    <col min="11573" max="11573" width="15" style="29" customWidth="1"/>
    <col min="11574" max="11574" width="17.28515625" style="29" customWidth="1"/>
    <col min="11575" max="11776" width="6.85546875" style="29"/>
    <col min="11777" max="11777" width="7.85546875" style="29" customWidth="1"/>
    <col min="11778" max="11778" width="0" style="29" hidden="1" customWidth="1"/>
    <col min="11779" max="11779" width="7.42578125" style="29" customWidth="1"/>
    <col min="11780" max="11780" width="1.42578125" style="29" customWidth="1"/>
    <col min="11781" max="11781" width="3.5703125" style="29" customWidth="1"/>
    <col min="11782" max="11783" width="0" style="29" hidden="1" customWidth="1"/>
    <col min="11784" max="11785" width="1.7109375" style="29" customWidth="1"/>
    <col min="11786" max="11786" width="6.85546875" style="29" customWidth="1"/>
    <col min="11787" max="11787" width="24.85546875" style="29" customWidth="1"/>
    <col min="11788" max="11788" width="18.85546875" style="29" bestFit="1" customWidth="1"/>
    <col min="11789" max="11803" width="0" style="29" hidden="1" customWidth="1"/>
    <col min="11804" max="11805" width="18.85546875" style="29" bestFit="1" customWidth="1"/>
    <col min="11806" max="11812" width="0" style="29" hidden="1" customWidth="1"/>
    <col min="11813" max="11813" width="17" style="29" customWidth="1"/>
    <col min="11814" max="11815" width="13.5703125" style="29" customWidth="1"/>
    <col min="11816" max="11816" width="14.7109375" style="29" customWidth="1"/>
    <col min="11817" max="11817" width="13.5703125" style="29" customWidth="1"/>
    <col min="11818" max="11818" width="14" style="29" customWidth="1"/>
    <col min="11819" max="11820" width="13.5703125" style="29" customWidth="1"/>
    <col min="11821" max="11821" width="13.28515625" style="29" customWidth="1"/>
    <col min="11822" max="11826" width="0" style="29" hidden="1" customWidth="1"/>
    <col min="11827" max="11827" width="9" style="29" customWidth="1"/>
    <col min="11828" max="11828" width="17.7109375" style="29" customWidth="1"/>
    <col min="11829" max="11829" width="15" style="29" customWidth="1"/>
    <col min="11830" max="11830" width="17.28515625" style="29" customWidth="1"/>
    <col min="11831" max="12032" width="6.85546875" style="29"/>
    <col min="12033" max="12033" width="7.85546875" style="29" customWidth="1"/>
    <col min="12034" max="12034" width="0" style="29" hidden="1" customWidth="1"/>
    <col min="12035" max="12035" width="7.42578125" style="29" customWidth="1"/>
    <col min="12036" max="12036" width="1.42578125" style="29" customWidth="1"/>
    <col min="12037" max="12037" width="3.5703125" style="29" customWidth="1"/>
    <col min="12038" max="12039" width="0" style="29" hidden="1" customWidth="1"/>
    <col min="12040" max="12041" width="1.7109375" style="29" customWidth="1"/>
    <col min="12042" max="12042" width="6.85546875" style="29" customWidth="1"/>
    <col min="12043" max="12043" width="24.85546875" style="29" customWidth="1"/>
    <col min="12044" max="12044" width="18.85546875" style="29" bestFit="1" customWidth="1"/>
    <col min="12045" max="12059" width="0" style="29" hidden="1" customWidth="1"/>
    <col min="12060" max="12061" width="18.85546875" style="29" bestFit="1" customWidth="1"/>
    <col min="12062" max="12068" width="0" style="29" hidden="1" customWidth="1"/>
    <col min="12069" max="12069" width="17" style="29" customWidth="1"/>
    <col min="12070" max="12071" width="13.5703125" style="29" customWidth="1"/>
    <col min="12072" max="12072" width="14.7109375" style="29" customWidth="1"/>
    <col min="12073" max="12073" width="13.5703125" style="29" customWidth="1"/>
    <col min="12074" max="12074" width="14" style="29" customWidth="1"/>
    <col min="12075" max="12076" width="13.5703125" style="29" customWidth="1"/>
    <col min="12077" max="12077" width="13.28515625" style="29" customWidth="1"/>
    <col min="12078" max="12082" width="0" style="29" hidden="1" customWidth="1"/>
    <col min="12083" max="12083" width="9" style="29" customWidth="1"/>
    <col min="12084" max="12084" width="17.7109375" style="29" customWidth="1"/>
    <col min="12085" max="12085" width="15" style="29" customWidth="1"/>
    <col min="12086" max="12086" width="17.28515625" style="29" customWidth="1"/>
    <col min="12087" max="12288" width="6.85546875" style="29"/>
    <col min="12289" max="12289" width="7.85546875" style="29" customWidth="1"/>
    <col min="12290" max="12290" width="0" style="29" hidden="1" customWidth="1"/>
    <col min="12291" max="12291" width="7.42578125" style="29" customWidth="1"/>
    <col min="12292" max="12292" width="1.42578125" style="29" customWidth="1"/>
    <col min="12293" max="12293" width="3.5703125" style="29" customWidth="1"/>
    <col min="12294" max="12295" width="0" style="29" hidden="1" customWidth="1"/>
    <col min="12296" max="12297" width="1.7109375" style="29" customWidth="1"/>
    <col min="12298" max="12298" width="6.85546875" style="29" customWidth="1"/>
    <col min="12299" max="12299" width="24.85546875" style="29" customWidth="1"/>
    <col min="12300" max="12300" width="18.85546875" style="29" bestFit="1" customWidth="1"/>
    <col min="12301" max="12315" width="0" style="29" hidden="1" customWidth="1"/>
    <col min="12316" max="12317" width="18.85546875" style="29" bestFit="1" customWidth="1"/>
    <col min="12318" max="12324" width="0" style="29" hidden="1" customWidth="1"/>
    <col min="12325" max="12325" width="17" style="29" customWidth="1"/>
    <col min="12326" max="12327" width="13.5703125" style="29" customWidth="1"/>
    <col min="12328" max="12328" width="14.7109375" style="29" customWidth="1"/>
    <col min="12329" max="12329" width="13.5703125" style="29" customWidth="1"/>
    <col min="12330" max="12330" width="14" style="29" customWidth="1"/>
    <col min="12331" max="12332" width="13.5703125" style="29" customWidth="1"/>
    <col min="12333" max="12333" width="13.28515625" style="29" customWidth="1"/>
    <col min="12334" max="12338" width="0" style="29" hidden="1" customWidth="1"/>
    <col min="12339" max="12339" width="9" style="29" customWidth="1"/>
    <col min="12340" max="12340" width="17.7109375" style="29" customWidth="1"/>
    <col min="12341" max="12341" width="15" style="29" customWidth="1"/>
    <col min="12342" max="12342" width="17.28515625" style="29" customWidth="1"/>
    <col min="12343" max="12544" width="6.85546875" style="29"/>
    <col min="12545" max="12545" width="7.85546875" style="29" customWidth="1"/>
    <col min="12546" max="12546" width="0" style="29" hidden="1" customWidth="1"/>
    <col min="12547" max="12547" width="7.42578125" style="29" customWidth="1"/>
    <col min="12548" max="12548" width="1.42578125" style="29" customWidth="1"/>
    <col min="12549" max="12549" width="3.5703125" style="29" customWidth="1"/>
    <col min="12550" max="12551" width="0" style="29" hidden="1" customWidth="1"/>
    <col min="12552" max="12553" width="1.7109375" style="29" customWidth="1"/>
    <col min="12554" max="12554" width="6.85546875" style="29" customWidth="1"/>
    <col min="12555" max="12555" width="24.85546875" style="29" customWidth="1"/>
    <col min="12556" max="12556" width="18.85546875" style="29" bestFit="1" customWidth="1"/>
    <col min="12557" max="12571" width="0" style="29" hidden="1" customWidth="1"/>
    <col min="12572" max="12573" width="18.85546875" style="29" bestFit="1" customWidth="1"/>
    <col min="12574" max="12580" width="0" style="29" hidden="1" customWidth="1"/>
    <col min="12581" max="12581" width="17" style="29" customWidth="1"/>
    <col min="12582" max="12583" width="13.5703125" style="29" customWidth="1"/>
    <col min="12584" max="12584" width="14.7109375" style="29" customWidth="1"/>
    <col min="12585" max="12585" width="13.5703125" style="29" customWidth="1"/>
    <col min="12586" max="12586" width="14" style="29" customWidth="1"/>
    <col min="12587" max="12588" width="13.5703125" style="29" customWidth="1"/>
    <col min="12589" max="12589" width="13.28515625" style="29" customWidth="1"/>
    <col min="12590" max="12594" width="0" style="29" hidden="1" customWidth="1"/>
    <col min="12595" max="12595" width="9" style="29" customWidth="1"/>
    <col min="12596" max="12596" width="17.7109375" style="29" customWidth="1"/>
    <col min="12597" max="12597" width="15" style="29" customWidth="1"/>
    <col min="12598" max="12598" width="17.28515625" style="29" customWidth="1"/>
    <col min="12599" max="12800" width="6.85546875" style="29"/>
    <col min="12801" max="12801" width="7.85546875" style="29" customWidth="1"/>
    <col min="12802" max="12802" width="0" style="29" hidden="1" customWidth="1"/>
    <col min="12803" max="12803" width="7.42578125" style="29" customWidth="1"/>
    <col min="12804" max="12804" width="1.42578125" style="29" customWidth="1"/>
    <col min="12805" max="12805" width="3.5703125" style="29" customWidth="1"/>
    <col min="12806" max="12807" width="0" style="29" hidden="1" customWidth="1"/>
    <col min="12808" max="12809" width="1.7109375" style="29" customWidth="1"/>
    <col min="12810" max="12810" width="6.85546875" style="29" customWidth="1"/>
    <col min="12811" max="12811" width="24.85546875" style="29" customWidth="1"/>
    <col min="12812" max="12812" width="18.85546875" style="29" bestFit="1" customWidth="1"/>
    <col min="12813" max="12827" width="0" style="29" hidden="1" customWidth="1"/>
    <col min="12828" max="12829" width="18.85546875" style="29" bestFit="1" customWidth="1"/>
    <col min="12830" max="12836" width="0" style="29" hidden="1" customWidth="1"/>
    <col min="12837" max="12837" width="17" style="29" customWidth="1"/>
    <col min="12838" max="12839" width="13.5703125" style="29" customWidth="1"/>
    <col min="12840" max="12840" width="14.7109375" style="29" customWidth="1"/>
    <col min="12841" max="12841" width="13.5703125" style="29" customWidth="1"/>
    <col min="12842" max="12842" width="14" style="29" customWidth="1"/>
    <col min="12843" max="12844" width="13.5703125" style="29" customWidth="1"/>
    <col min="12845" max="12845" width="13.28515625" style="29" customWidth="1"/>
    <col min="12846" max="12850" width="0" style="29" hidden="1" customWidth="1"/>
    <col min="12851" max="12851" width="9" style="29" customWidth="1"/>
    <col min="12852" max="12852" width="17.7109375" style="29" customWidth="1"/>
    <col min="12853" max="12853" width="15" style="29" customWidth="1"/>
    <col min="12854" max="12854" width="17.28515625" style="29" customWidth="1"/>
    <col min="12855" max="13056" width="6.85546875" style="29"/>
    <col min="13057" max="13057" width="7.85546875" style="29" customWidth="1"/>
    <col min="13058" max="13058" width="0" style="29" hidden="1" customWidth="1"/>
    <col min="13059" max="13059" width="7.42578125" style="29" customWidth="1"/>
    <col min="13060" max="13060" width="1.42578125" style="29" customWidth="1"/>
    <col min="13061" max="13061" width="3.5703125" style="29" customWidth="1"/>
    <col min="13062" max="13063" width="0" style="29" hidden="1" customWidth="1"/>
    <col min="13064" max="13065" width="1.7109375" style="29" customWidth="1"/>
    <col min="13066" max="13066" width="6.85546875" style="29" customWidth="1"/>
    <col min="13067" max="13067" width="24.85546875" style="29" customWidth="1"/>
    <col min="13068" max="13068" width="18.85546875" style="29" bestFit="1" customWidth="1"/>
    <col min="13069" max="13083" width="0" style="29" hidden="1" customWidth="1"/>
    <col min="13084" max="13085" width="18.85546875" style="29" bestFit="1" customWidth="1"/>
    <col min="13086" max="13092" width="0" style="29" hidden="1" customWidth="1"/>
    <col min="13093" max="13093" width="17" style="29" customWidth="1"/>
    <col min="13094" max="13095" width="13.5703125" style="29" customWidth="1"/>
    <col min="13096" max="13096" width="14.7109375" style="29" customWidth="1"/>
    <col min="13097" max="13097" width="13.5703125" style="29" customWidth="1"/>
    <col min="13098" max="13098" width="14" style="29" customWidth="1"/>
    <col min="13099" max="13100" width="13.5703125" style="29" customWidth="1"/>
    <col min="13101" max="13101" width="13.28515625" style="29" customWidth="1"/>
    <col min="13102" max="13106" width="0" style="29" hidden="1" customWidth="1"/>
    <col min="13107" max="13107" width="9" style="29" customWidth="1"/>
    <col min="13108" max="13108" width="17.7109375" style="29" customWidth="1"/>
    <col min="13109" max="13109" width="15" style="29" customWidth="1"/>
    <col min="13110" max="13110" width="17.28515625" style="29" customWidth="1"/>
    <col min="13111" max="13312" width="6.85546875" style="29"/>
    <col min="13313" max="13313" width="7.85546875" style="29" customWidth="1"/>
    <col min="13314" max="13314" width="0" style="29" hidden="1" customWidth="1"/>
    <col min="13315" max="13315" width="7.42578125" style="29" customWidth="1"/>
    <col min="13316" max="13316" width="1.42578125" style="29" customWidth="1"/>
    <col min="13317" max="13317" width="3.5703125" style="29" customWidth="1"/>
    <col min="13318" max="13319" width="0" style="29" hidden="1" customWidth="1"/>
    <col min="13320" max="13321" width="1.7109375" style="29" customWidth="1"/>
    <col min="13322" max="13322" width="6.85546875" style="29" customWidth="1"/>
    <col min="13323" max="13323" width="24.85546875" style="29" customWidth="1"/>
    <col min="13324" max="13324" width="18.85546875" style="29" bestFit="1" customWidth="1"/>
    <col min="13325" max="13339" width="0" style="29" hidden="1" customWidth="1"/>
    <col min="13340" max="13341" width="18.85546875" style="29" bestFit="1" customWidth="1"/>
    <col min="13342" max="13348" width="0" style="29" hidden="1" customWidth="1"/>
    <col min="13349" max="13349" width="17" style="29" customWidth="1"/>
    <col min="13350" max="13351" width="13.5703125" style="29" customWidth="1"/>
    <col min="13352" max="13352" width="14.7109375" style="29" customWidth="1"/>
    <col min="13353" max="13353" width="13.5703125" style="29" customWidth="1"/>
    <col min="13354" max="13354" width="14" style="29" customWidth="1"/>
    <col min="13355" max="13356" width="13.5703125" style="29" customWidth="1"/>
    <col min="13357" max="13357" width="13.28515625" style="29" customWidth="1"/>
    <col min="13358" max="13362" width="0" style="29" hidden="1" customWidth="1"/>
    <col min="13363" max="13363" width="9" style="29" customWidth="1"/>
    <col min="13364" max="13364" width="17.7109375" style="29" customWidth="1"/>
    <col min="13365" max="13365" width="15" style="29" customWidth="1"/>
    <col min="13366" max="13366" width="17.28515625" style="29" customWidth="1"/>
    <col min="13367" max="13568" width="6.85546875" style="29"/>
    <col min="13569" max="13569" width="7.85546875" style="29" customWidth="1"/>
    <col min="13570" max="13570" width="0" style="29" hidden="1" customWidth="1"/>
    <col min="13571" max="13571" width="7.42578125" style="29" customWidth="1"/>
    <col min="13572" max="13572" width="1.42578125" style="29" customWidth="1"/>
    <col min="13573" max="13573" width="3.5703125" style="29" customWidth="1"/>
    <col min="13574" max="13575" width="0" style="29" hidden="1" customWidth="1"/>
    <col min="13576" max="13577" width="1.7109375" style="29" customWidth="1"/>
    <col min="13578" max="13578" width="6.85546875" style="29" customWidth="1"/>
    <col min="13579" max="13579" width="24.85546875" style="29" customWidth="1"/>
    <col min="13580" max="13580" width="18.85546875" style="29" bestFit="1" customWidth="1"/>
    <col min="13581" max="13595" width="0" style="29" hidden="1" customWidth="1"/>
    <col min="13596" max="13597" width="18.85546875" style="29" bestFit="1" customWidth="1"/>
    <col min="13598" max="13604" width="0" style="29" hidden="1" customWidth="1"/>
    <col min="13605" max="13605" width="17" style="29" customWidth="1"/>
    <col min="13606" max="13607" width="13.5703125" style="29" customWidth="1"/>
    <col min="13608" max="13608" width="14.7109375" style="29" customWidth="1"/>
    <col min="13609" max="13609" width="13.5703125" style="29" customWidth="1"/>
    <col min="13610" max="13610" width="14" style="29" customWidth="1"/>
    <col min="13611" max="13612" width="13.5703125" style="29" customWidth="1"/>
    <col min="13613" max="13613" width="13.28515625" style="29" customWidth="1"/>
    <col min="13614" max="13618" width="0" style="29" hidden="1" customWidth="1"/>
    <col min="13619" max="13619" width="9" style="29" customWidth="1"/>
    <col min="13620" max="13620" width="17.7109375" style="29" customWidth="1"/>
    <col min="13621" max="13621" width="15" style="29" customWidth="1"/>
    <col min="13622" max="13622" width="17.28515625" style="29" customWidth="1"/>
    <col min="13623" max="13824" width="6.85546875" style="29"/>
    <col min="13825" max="13825" width="7.85546875" style="29" customWidth="1"/>
    <col min="13826" max="13826" width="0" style="29" hidden="1" customWidth="1"/>
    <col min="13827" max="13827" width="7.42578125" style="29" customWidth="1"/>
    <col min="13828" max="13828" width="1.42578125" style="29" customWidth="1"/>
    <col min="13829" max="13829" width="3.5703125" style="29" customWidth="1"/>
    <col min="13830" max="13831" width="0" style="29" hidden="1" customWidth="1"/>
    <col min="13832" max="13833" width="1.7109375" style="29" customWidth="1"/>
    <col min="13834" max="13834" width="6.85546875" style="29" customWidth="1"/>
    <col min="13835" max="13835" width="24.85546875" style="29" customWidth="1"/>
    <col min="13836" max="13836" width="18.85546875" style="29" bestFit="1" customWidth="1"/>
    <col min="13837" max="13851" width="0" style="29" hidden="1" customWidth="1"/>
    <col min="13852" max="13853" width="18.85546875" style="29" bestFit="1" customWidth="1"/>
    <col min="13854" max="13860" width="0" style="29" hidden="1" customWidth="1"/>
    <col min="13861" max="13861" width="17" style="29" customWidth="1"/>
    <col min="13862" max="13863" width="13.5703125" style="29" customWidth="1"/>
    <col min="13864" max="13864" width="14.7109375" style="29" customWidth="1"/>
    <col min="13865" max="13865" width="13.5703125" style="29" customWidth="1"/>
    <col min="13866" max="13866" width="14" style="29" customWidth="1"/>
    <col min="13867" max="13868" width="13.5703125" style="29" customWidth="1"/>
    <col min="13869" max="13869" width="13.28515625" style="29" customWidth="1"/>
    <col min="13870" max="13874" width="0" style="29" hidden="1" customWidth="1"/>
    <col min="13875" max="13875" width="9" style="29" customWidth="1"/>
    <col min="13876" max="13876" width="17.7109375" style="29" customWidth="1"/>
    <col min="13877" max="13877" width="15" style="29" customWidth="1"/>
    <col min="13878" max="13878" width="17.28515625" style="29" customWidth="1"/>
    <col min="13879" max="14080" width="6.85546875" style="29"/>
    <col min="14081" max="14081" width="7.85546875" style="29" customWidth="1"/>
    <col min="14082" max="14082" width="0" style="29" hidden="1" customWidth="1"/>
    <col min="14083" max="14083" width="7.42578125" style="29" customWidth="1"/>
    <col min="14084" max="14084" width="1.42578125" style="29" customWidth="1"/>
    <col min="14085" max="14085" width="3.5703125" style="29" customWidth="1"/>
    <col min="14086" max="14087" width="0" style="29" hidden="1" customWidth="1"/>
    <col min="14088" max="14089" width="1.7109375" style="29" customWidth="1"/>
    <col min="14090" max="14090" width="6.85546875" style="29" customWidth="1"/>
    <col min="14091" max="14091" width="24.85546875" style="29" customWidth="1"/>
    <col min="14092" max="14092" width="18.85546875" style="29" bestFit="1" customWidth="1"/>
    <col min="14093" max="14107" width="0" style="29" hidden="1" customWidth="1"/>
    <col min="14108" max="14109" width="18.85546875" style="29" bestFit="1" customWidth="1"/>
    <col min="14110" max="14116" width="0" style="29" hidden="1" customWidth="1"/>
    <col min="14117" max="14117" width="17" style="29" customWidth="1"/>
    <col min="14118" max="14119" width="13.5703125" style="29" customWidth="1"/>
    <col min="14120" max="14120" width="14.7109375" style="29" customWidth="1"/>
    <col min="14121" max="14121" width="13.5703125" style="29" customWidth="1"/>
    <col min="14122" max="14122" width="14" style="29" customWidth="1"/>
    <col min="14123" max="14124" width="13.5703125" style="29" customWidth="1"/>
    <col min="14125" max="14125" width="13.28515625" style="29" customWidth="1"/>
    <col min="14126" max="14130" width="0" style="29" hidden="1" customWidth="1"/>
    <col min="14131" max="14131" width="9" style="29" customWidth="1"/>
    <col min="14132" max="14132" width="17.7109375" style="29" customWidth="1"/>
    <col min="14133" max="14133" width="15" style="29" customWidth="1"/>
    <col min="14134" max="14134" width="17.28515625" style="29" customWidth="1"/>
    <col min="14135" max="14336" width="6.85546875" style="29"/>
    <col min="14337" max="14337" width="7.85546875" style="29" customWidth="1"/>
    <col min="14338" max="14338" width="0" style="29" hidden="1" customWidth="1"/>
    <col min="14339" max="14339" width="7.42578125" style="29" customWidth="1"/>
    <col min="14340" max="14340" width="1.42578125" style="29" customWidth="1"/>
    <col min="14341" max="14341" width="3.5703125" style="29" customWidth="1"/>
    <col min="14342" max="14343" width="0" style="29" hidden="1" customWidth="1"/>
    <col min="14344" max="14345" width="1.7109375" style="29" customWidth="1"/>
    <col min="14346" max="14346" width="6.85546875" style="29" customWidth="1"/>
    <col min="14347" max="14347" width="24.85546875" style="29" customWidth="1"/>
    <col min="14348" max="14348" width="18.85546875" style="29" bestFit="1" customWidth="1"/>
    <col min="14349" max="14363" width="0" style="29" hidden="1" customWidth="1"/>
    <col min="14364" max="14365" width="18.85546875" style="29" bestFit="1" customWidth="1"/>
    <col min="14366" max="14372" width="0" style="29" hidden="1" customWidth="1"/>
    <col min="14373" max="14373" width="17" style="29" customWidth="1"/>
    <col min="14374" max="14375" width="13.5703125" style="29" customWidth="1"/>
    <col min="14376" max="14376" width="14.7109375" style="29" customWidth="1"/>
    <col min="14377" max="14377" width="13.5703125" style="29" customWidth="1"/>
    <col min="14378" max="14378" width="14" style="29" customWidth="1"/>
    <col min="14379" max="14380" width="13.5703125" style="29" customWidth="1"/>
    <col min="14381" max="14381" width="13.28515625" style="29" customWidth="1"/>
    <col min="14382" max="14386" width="0" style="29" hidden="1" customWidth="1"/>
    <col min="14387" max="14387" width="9" style="29" customWidth="1"/>
    <col min="14388" max="14388" width="17.7109375" style="29" customWidth="1"/>
    <col min="14389" max="14389" width="15" style="29" customWidth="1"/>
    <col min="14390" max="14390" width="17.28515625" style="29" customWidth="1"/>
    <col min="14391" max="14592" width="6.85546875" style="29"/>
    <col min="14593" max="14593" width="7.85546875" style="29" customWidth="1"/>
    <col min="14594" max="14594" width="0" style="29" hidden="1" customWidth="1"/>
    <col min="14595" max="14595" width="7.42578125" style="29" customWidth="1"/>
    <col min="14596" max="14596" width="1.42578125" style="29" customWidth="1"/>
    <col min="14597" max="14597" width="3.5703125" style="29" customWidth="1"/>
    <col min="14598" max="14599" width="0" style="29" hidden="1" customWidth="1"/>
    <col min="14600" max="14601" width="1.7109375" style="29" customWidth="1"/>
    <col min="14602" max="14602" width="6.85546875" style="29" customWidth="1"/>
    <col min="14603" max="14603" width="24.85546875" style="29" customWidth="1"/>
    <col min="14604" max="14604" width="18.85546875" style="29" bestFit="1" customWidth="1"/>
    <col min="14605" max="14619" width="0" style="29" hidden="1" customWidth="1"/>
    <col min="14620" max="14621" width="18.85546875" style="29" bestFit="1" customWidth="1"/>
    <col min="14622" max="14628" width="0" style="29" hidden="1" customWidth="1"/>
    <col min="14629" max="14629" width="17" style="29" customWidth="1"/>
    <col min="14630" max="14631" width="13.5703125" style="29" customWidth="1"/>
    <col min="14632" max="14632" width="14.7109375" style="29" customWidth="1"/>
    <col min="14633" max="14633" width="13.5703125" style="29" customWidth="1"/>
    <col min="14634" max="14634" width="14" style="29" customWidth="1"/>
    <col min="14635" max="14636" width="13.5703125" style="29" customWidth="1"/>
    <col min="14637" max="14637" width="13.28515625" style="29" customWidth="1"/>
    <col min="14638" max="14642" width="0" style="29" hidden="1" customWidth="1"/>
    <col min="14643" max="14643" width="9" style="29" customWidth="1"/>
    <col min="14644" max="14644" width="17.7109375" style="29" customWidth="1"/>
    <col min="14645" max="14645" width="15" style="29" customWidth="1"/>
    <col min="14646" max="14646" width="17.28515625" style="29" customWidth="1"/>
    <col min="14647" max="14848" width="6.85546875" style="29"/>
    <col min="14849" max="14849" width="7.85546875" style="29" customWidth="1"/>
    <col min="14850" max="14850" width="0" style="29" hidden="1" customWidth="1"/>
    <col min="14851" max="14851" width="7.42578125" style="29" customWidth="1"/>
    <col min="14852" max="14852" width="1.42578125" style="29" customWidth="1"/>
    <col min="14853" max="14853" width="3.5703125" style="29" customWidth="1"/>
    <col min="14854" max="14855" width="0" style="29" hidden="1" customWidth="1"/>
    <col min="14856" max="14857" width="1.7109375" style="29" customWidth="1"/>
    <col min="14858" max="14858" width="6.85546875" style="29" customWidth="1"/>
    <col min="14859" max="14859" width="24.85546875" style="29" customWidth="1"/>
    <col min="14860" max="14860" width="18.85546875" style="29" bestFit="1" customWidth="1"/>
    <col min="14861" max="14875" width="0" style="29" hidden="1" customWidth="1"/>
    <col min="14876" max="14877" width="18.85546875" style="29" bestFit="1" customWidth="1"/>
    <col min="14878" max="14884" width="0" style="29" hidden="1" customWidth="1"/>
    <col min="14885" max="14885" width="17" style="29" customWidth="1"/>
    <col min="14886" max="14887" width="13.5703125" style="29" customWidth="1"/>
    <col min="14888" max="14888" width="14.7109375" style="29" customWidth="1"/>
    <col min="14889" max="14889" width="13.5703125" style="29" customWidth="1"/>
    <col min="14890" max="14890" width="14" style="29" customWidth="1"/>
    <col min="14891" max="14892" width="13.5703125" style="29" customWidth="1"/>
    <col min="14893" max="14893" width="13.28515625" style="29" customWidth="1"/>
    <col min="14894" max="14898" width="0" style="29" hidden="1" customWidth="1"/>
    <col min="14899" max="14899" width="9" style="29" customWidth="1"/>
    <col min="14900" max="14900" width="17.7109375" style="29" customWidth="1"/>
    <col min="14901" max="14901" width="15" style="29" customWidth="1"/>
    <col min="14902" max="14902" width="17.28515625" style="29" customWidth="1"/>
    <col min="14903" max="15104" width="6.85546875" style="29"/>
    <col min="15105" max="15105" width="7.85546875" style="29" customWidth="1"/>
    <col min="15106" max="15106" width="0" style="29" hidden="1" customWidth="1"/>
    <col min="15107" max="15107" width="7.42578125" style="29" customWidth="1"/>
    <col min="15108" max="15108" width="1.42578125" style="29" customWidth="1"/>
    <col min="15109" max="15109" width="3.5703125" style="29" customWidth="1"/>
    <col min="15110" max="15111" width="0" style="29" hidden="1" customWidth="1"/>
    <col min="15112" max="15113" width="1.7109375" style="29" customWidth="1"/>
    <col min="15114" max="15114" width="6.85546875" style="29" customWidth="1"/>
    <col min="15115" max="15115" width="24.85546875" style="29" customWidth="1"/>
    <col min="15116" max="15116" width="18.85546875" style="29" bestFit="1" customWidth="1"/>
    <col min="15117" max="15131" width="0" style="29" hidden="1" customWidth="1"/>
    <col min="15132" max="15133" width="18.85546875" style="29" bestFit="1" customWidth="1"/>
    <col min="15134" max="15140" width="0" style="29" hidden="1" customWidth="1"/>
    <col min="15141" max="15141" width="17" style="29" customWidth="1"/>
    <col min="15142" max="15143" width="13.5703125" style="29" customWidth="1"/>
    <col min="15144" max="15144" width="14.7109375" style="29" customWidth="1"/>
    <col min="15145" max="15145" width="13.5703125" style="29" customWidth="1"/>
    <col min="15146" max="15146" width="14" style="29" customWidth="1"/>
    <col min="15147" max="15148" width="13.5703125" style="29" customWidth="1"/>
    <col min="15149" max="15149" width="13.28515625" style="29" customWidth="1"/>
    <col min="15150" max="15154" width="0" style="29" hidden="1" customWidth="1"/>
    <col min="15155" max="15155" width="9" style="29" customWidth="1"/>
    <col min="15156" max="15156" width="17.7109375" style="29" customWidth="1"/>
    <col min="15157" max="15157" width="15" style="29" customWidth="1"/>
    <col min="15158" max="15158" width="17.28515625" style="29" customWidth="1"/>
    <col min="15159" max="15360" width="6.85546875" style="29"/>
    <col min="15361" max="15361" width="7.85546875" style="29" customWidth="1"/>
    <col min="15362" max="15362" width="0" style="29" hidden="1" customWidth="1"/>
    <col min="15363" max="15363" width="7.42578125" style="29" customWidth="1"/>
    <col min="15364" max="15364" width="1.42578125" style="29" customWidth="1"/>
    <col min="15365" max="15365" width="3.5703125" style="29" customWidth="1"/>
    <col min="15366" max="15367" width="0" style="29" hidden="1" customWidth="1"/>
    <col min="15368" max="15369" width="1.7109375" style="29" customWidth="1"/>
    <col min="15370" max="15370" width="6.85546875" style="29" customWidth="1"/>
    <col min="15371" max="15371" width="24.85546875" style="29" customWidth="1"/>
    <col min="15372" max="15372" width="18.85546875" style="29" bestFit="1" customWidth="1"/>
    <col min="15373" max="15387" width="0" style="29" hidden="1" customWidth="1"/>
    <col min="15388" max="15389" width="18.85546875" style="29" bestFit="1" customWidth="1"/>
    <col min="15390" max="15396" width="0" style="29" hidden="1" customWidth="1"/>
    <col min="15397" max="15397" width="17" style="29" customWidth="1"/>
    <col min="15398" max="15399" width="13.5703125" style="29" customWidth="1"/>
    <col min="15400" max="15400" width="14.7109375" style="29" customWidth="1"/>
    <col min="15401" max="15401" width="13.5703125" style="29" customWidth="1"/>
    <col min="15402" max="15402" width="14" style="29" customWidth="1"/>
    <col min="15403" max="15404" width="13.5703125" style="29" customWidth="1"/>
    <col min="15405" max="15405" width="13.28515625" style="29" customWidth="1"/>
    <col min="15406" max="15410" width="0" style="29" hidden="1" customWidth="1"/>
    <col min="15411" max="15411" width="9" style="29" customWidth="1"/>
    <col min="15412" max="15412" width="17.7109375" style="29" customWidth="1"/>
    <col min="15413" max="15413" width="15" style="29" customWidth="1"/>
    <col min="15414" max="15414" width="17.28515625" style="29" customWidth="1"/>
    <col min="15415" max="15616" width="6.85546875" style="29"/>
    <col min="15617" max="15617" width="7.85546875" style="29" customWidth="1"/>
    <col min="15618" max="15618" width="0" style="29" hidden="1" customWidth="1"/>
    <col min="15619" max="15619" width="7.42578125" style="29" customWidth="1"/>
    <col min="15620" max="15620" width="1.42578125" style="29" customWidth="1"/>
    <col min="15621" max="15621" width="3.5703125" style="29" customWidth="1"/>
    <col min="15622" max="15623" width="0" style="29" hidden="1" customWidth="1"/>
    <col min="15624" max="15625" width="1.7109375" style="29" customWidth="1"/>
    <col min="15626" max="15626" width="6.85546875" style="29" customWidth="1"/>
    <col min="15627" max="15627" width="24.85546875" style="29" customWidth="1"/>
    <col min="15628" max="15628" width="18.85546875" style="29" bestFit="1" customWidth="1"/>
    <col min="15629" max="15643" width="0" style="29" hidden="1" customWidth="1"/>
    <col min="15644" max="15645" width="18.85546875" style="29" bestFit="1" customWidth="1"/>
    <col min="15646" max="15652" width="0" style="29" hidden="1" customWidth="1"/>
    <col min="15653" max="15653" width="17" style="29" customWidth="1"/>
    <col min="15654" max="15655" width="13.5703125" style="29" customWidth="1"/>
    <col min="15656" max="15656" width="14.7109375" style="29" customWidth="1"/>
    <col min="15657" max="15657" width="13.5703125" style="29" customWidth="1"/>
    <col min="15658" max="15658" width="14" style="29" customWidth="1"/>
    <col min="15659" max="15660" width="13.5703125" style="29" customWidth="1"/>
    <col min="15661" max="15661" width="13.28515625" style="29" customWidth="1"/>
    <col min="15662" max="15666" width="0" style="29" hidden="1" customWidth="1"/>
    <col min="15667" max="15667" width="9" style="29" customWidth="1"/>
    <col min="15668" max="15668" width="17.7109375" style="29" customWidth="1"/>
    <col min="15669" max="15669" width="15" style="29" customWidth="1"/>
    <col min="15670" max="15670" width="17.28515625" style="29" customWidth="1"/>
    <col min="15671" max="15872" width="6.85546875" style="29"/>
    <col min="15873" max="15873" width="7.85546875" style="29" customWidth="1"/>
    <col min="15874" max="15874" width="0" style="29" hidden="1" customWidth="1"/>
    <col min="15875" max="15875" width="7.42578125" style="29" customWidth="1"/>
    <col min="15876" max="15876" width="1.42578125" style="29" customWidth="1"/>
    <col min="15877" max="15877" width="3.5703125" style="29" customWidth="1"/>
    <col min="15878" max="15879" width="0" style="29" hidden="1" customWidth="1"/>
    <col min="15880" max="15881" width="1.7109375" style="29" customWidth="1"/>
    <col min="15882" max="15882" width="6.85546875" style="29" customWidth="1"/>
    <col min="15883" max="15883" width="24.85546875" style="29" customWidth="1"/>
    <col min="15884" max="15884" width="18.85546875" style="29" bestFit="1" customWidth="1"/>
    <col min="15885" max="15899" width="0" style="29" hidden="1" customWidth="1"/>
    <col min="15900" max="15901" width="18.85546875" style="29" bestFit="1" customWidth="1"/>
    <col min="15902" max="15908" width="0" style="29" hidden="1" customWidth="1"/>
    <col min="15909" max="15909" width="17" style="29" customWidth="1"/>
    <col min="15910" max="15911" width="13.5703125" style="29" customWidth="1"/>
    <col min="15912" max="15912" width="14.7109375" style="29" customWidth="1"/>
    <col min="15913" max="15913" width="13.5703125" style="29" customWidth="1"/>
    <col min="15914" max="15914" width="14" style="29" customWidth="1"/>
    <col min="15915" max="15916" width="13.5703125" style="29" customWidth="1"/>
    <col min="15917" max="15917" width="13.28515625" style="29" customWidth="1"/>
    <col min="15918" max="15922" width="0" style="29" hidden="1" customWidth="1"/>
    <col min="15923" max="15923" width="9" style="29" customWidth="1"/>
    <col min="15924" max="15924" width="17.7109375" style="29" customWidth="1"/>
    <col min="15925" max="15925" width="15" style="29" customWidth="1"/>
    <col min="15926" max="15926" width="17.28515625" style="29" customWidth="1"/>
    <col min="15927" max="16128" width="6.85546875" style="29"/>
    <col min="16129" max="16129" width="7.85546875" style="29" customWidth="1"/>
    <col min="16130" max="16130" width="0" style="29" hidden="1" customWidth="1"/>
    <col min="16131" max="16131" width="7.42578125" style="29" customWidth="1"/>
    <col min="16132" max="16132" width="1.42578125" style="29" customWidth="1"/>
    <col min="16133" max="16133" width="3.5703125" style="29" customWidth="1"/>
    <col min="16134" max="16135" width="0" style="29" hidden="1" customWidth="1"/>
    <col min="16136" max="16137" width="1.7109375" style="29" customWidth="1"/>
    <col min="16138" max="16138" width="6.85546875" style="29" customWidth="1"/>
    <col min="16139" max="16139" width="24.85546875" style="29" customWidth="1"/>
    <col min="16140" max="16140" width="18.85546875" style="29" bestFit="1" customWidth="1"/>
    <col min="16141" max="16155" width="0" style="29" hidden="1" customWidth="1"/>
    <col min="16156" max="16157" width="18.85546875" style="29" bestFit="1" customWidth="1"/>
    <col min="16158" max="16164" width="0" style="29" hidden="1" customWidth="1"/>
    <col min="16165" max="16165" width="17" style="29" customWidth="1"/>
    <col min="16166" max="16167" width="13.5703125" style="29" customWidth="1"/>
    <col min="16168" max="16168" width="14.7109375" style="29" customWidth="1"/>
    <col min="16169" max="16169" width="13.5703125" style="29" customWidth="1"/>
    <col min="16170" max="16170" width="14" style="29" customWidth="1"/>
    <col min="16171" max="16172" width="13.5703125" style="29" customWidth="1"/>
    <col min="16173" max="16173" width="13.28515625" style="29" customWidth="1"/>
    <col min="16174" max="16178" width="0" style="29" hidden="1" customWidth="1"/>
    <col min="16179" max="16179" width="9" style="29" customWidth="1"/>
    <col min="16180" max="16180" width="17.7109375" style="29" customWidth="1"/>
    <col min="16181" max="16181" width="15" style="29" customWidth="1"/>
    <col min="16182" max="16182" width="17.28515625" style="29" customWidth="1"/>
    <col min="16183" max="16384" width="6.85546875" style="29"/>
  </cols>
  <sheetData>
    <row r="1" spans="1:52" ht="33.75" customHeight="1">
      <c r="A1" s="28"/>
    </row>
    <row r="2" spans="1:52" ht="3" customHeight="1">
      <c r="O2" s="29" t="s">
        <v>48</v>
      </c>
    </row>
    <row r="3" spans="1:52" ht="16.5" customHeight="1">
      <c r="D3" s="268" t="s">
        <v>49</v>
      </c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8"/>
      <c r="P3" s="268"/>
      <c r="Q3" s="268"/>
      <c r="R3" s="268"/>
      <c r="S3" s="268"/>
      <c r="T3" s="268"/>
      <c r="U3" s="268"/>
      <c r="V3" s="268"/>
      <c r="W3" s="268"/>
      <c r="X3" s="268"/>
      <c r="Y3" s="268"/>
      <c r="Z3" s="268"/>
      <c r="AA3" s="268"/>
      <c r="AB3" s="268"/>
      <c r="AC3" s="268"/>
      <c r="AD3" s="268"/>
      <c r="AE3" s="268"/>
      <c r="AF3" s="268"/>
      <c r="AG3" s="268"/>
      <c r="AH3" s="268"/>
      <c r="AI3" s="268"/>
      <c r="AJ3" s="268"/>
      <c r="AK3" s="268"/>
      <c r="AL3" s="268"/>
      <c r="AM3" s="268"/>
      <c r="AN3" s="268"/>
      <c r="AO3" s="268"/>
      <c r="AP3" s="268"/>
      <c r="AQ3" s="268"/>
      <c r="AR3" s="268"/>
      <c r="AS3" s="268"/>
      <c r="AT3" s="268"/>
      <c r="AU3" s="268"/>
      <c r="AV3" s="268"/>
      <c r="AW3" s="268"/>
      <c r="AX3" s="268"/>
      <c r="AY3" s="268"/>
    </row>
    <row r="4" spans="1:52" ht="20.25" customHeight="1">
      <c r="D4" s="269" t="s">
        <v>50</v>
      </c>
      <c r="E4" s="269"/>
      <c r="F4" s="269"/>
      <c r="G4" s="269"/>
      <c r="H4" s="269"/>
      <c r="I4" s="269"/>
      <c r="J4" s="269"/>
      <c r="K4" s="269"/>
      <c r="L4" s="269"/>
      <c r="M4" s="269"/>
      <c r="N4" s="269"/>
      <c r="O4" s="269"/>
      <c r="P4" s="269"/>
      <c r="Q4" s="269"/>
      <c r="R4" s="269"/>
      <c r="S4" s="269"/>
      <c r="T4" s="269"/>
      <c r="U4" s="269"/>
      <c r="V4" s="269"/>
      <c r="W4" s="269"/>
      <c r="X4" s="269"/>
      <c r="Y4" s="269"/>
      <c r="Z4" s="269"/>
      <c r="AA4" s="269"/>
      <c r="AB4" s="269"/>
      <c r="AC4" s="269"/>
      <c r="AD4" s="269"/>
      <c r="AE4" s="269"/>
      <c r="AF4" s="269"/>
      <c r="AG4" s="269"/>
      <c r="AH4" s="269"/>
      <c r="AI4" s="269"/>
      <c r="AJ4" s="269"/>
      <c r="AK4" s="269"/>
      <c r="AL4" s="269"/>
      <c r="AM4" s="269"/>
      <c r="AN4" s="269"/>
      <c r="AO4" s="269"/>
      <c r="AP4" s="269"/>
      <c r="AQ4" s="269"/>
      <c r="AR4" s="269"/>
      <c r="AS4" s="269"/>
      <c r="AT4" s="269"/>
      <c r="AU4" s="269"/>
      <c r="AV4" s="269"/>
      <c r="AW4" s="269"/>
      <c r="AX4" s="269"/>
      <c r="AY4" s="269"/>
    </row>
    <row r="5" spans="1:52" ht="24" customHeight="1">
      <c r="D5" s="270" t="s">
        <v>51</v>
      </c>
      <c r="E5" s="270"/>
      <c r="F5" s="270"/>
      <c r="G5" s="270"/>
      <c r="H5" s="270"/>
      <c r="I5" s="270"/>
      <c r="J5" s="270"/>
      <c r="K5" s="270"/>
      <c r="L5" s="270"/>
      <c r="M5" s="270"/>
      <c r="N5" s="270"/>
      <c r="O5" s="270"/>
      <c r="P5" s="270"/>
      <c r="Q5" s="270"/>
      <c r="R5" s="270"/>
      <c r="S5" s="270"/>
      <c r="T5" s="270"/>
      <c r="U5" s="270"/>
      <c r="V5" s="270"/>
      <c r="W5" s="270"/>
      <c r="X5" s="270"/>
      <c r="Y5" s="270"/>
      <c r="Z5" s="270"/>
      <c r="AA5" s="270"/>
      <c r="AB5" s="270"/>
      <c r="AC5" s="270"/>
      <c r="AD5" s="270"/>
      <c r="AE5" s="270"/>
      <c r="AF5" s="270"/>
      <c r="AG5" s="270"/>
      <c r="AH5" s="270"/>
      <c r="AI5" s="270"/>
      <c r="AJ5" s="270"/>
      <c r="AK5" s="270"/>
      <c r="AL5" s="270"/>
      <c r="AM5" s="270"/>
      <c r="AN5" s="270"/>
      <c r="AO5" s="270"/>
      <c r="AP5" s="270"/>
      <c r="AQ5" s="270"/>
      <c r="AR5" s="270"/>
      <c r="AS5" s="270"/>
      <c r="AT5" s="270"/>
      <c r="AU5" s="270"/>
      <c r="AV5" s="270"/>
      <c r="AW5" s="270"/>
      <c r="AX5" s="270"/>
      <c r="AY5" s="270"/>
    </row>
    <row r="6" spans="1:52" ht="9.75" customHeight="1"/>
    <row r="7" spans="1:52" ht="20.100000000000001" customHeight="1"/>
    <row r="8" spans="1:52" ht="11.25" customHeight="1">
      <c r="A8" s="271" t="s">
        <v>21</v>
      </c>
      <c r="B8" s="273" t="s">
        <v>52</v>
      </c>
      <c r="C8" s="274"/>
      <c r="D8" s="274"/>
      <c r="E8" s="275"/>
      <c r="F8" s="279" t="s">
        <v>22</v>
      </c>
      <c r="G8" s="280"/>
      <c r="H8" s="280"/>
      <c r="I8" s="280"/>
      <c r="J8" s="280"/>
      <c r="K8" s="281"/>
      <c r="L8" s="266" t="s">
        <v>53</v>
      </c>
      <c r="M8" s="264" t="s">
        <v>54</v>
      </c>
      <c r="N8" s="264" t="s">
        <v>55</v>
      </c>
      <c r="O8" s="264" t="s">
        <v>56</v>
      </c>
      <c r="P8" s="264" t="s">
        <v>57</v>
      </c>
      <c r="Q8" s="264" t="s">
        <v>58</v>
      </c>
      <c r="R8" s="30"/>
      <c r="S8" s="30"/>
      <c r="T8" s="264" t="s">
        <v>59</v>
      </c>
      <c r="U8" s="30"/>
      <c r="V8" s="30"/>
      <c r="W8" s="30"/>
      <c r="X8" s="30"/>
      <c r="Y8" s="30"/>
      <c r="Z8" s="30"/>
      <c r="AA8" s="264" t="s">
        <v>60</v>
      </c>
      <c r="AB8" s="266" t="s">
        <v>61</v>
      </c>
      <c r="AC8" s="264" t="s">
        <v>62</v>
      </c>
      <c r="AD8" s="264" t="s">
        <v>63</v>
      </c>
      <c r="AE8" s="264" t="s">
        <v>64</v>
      </c>
      <c r="AF8" s="30"/>
      <c r="AG8" s="30" t="s">
        <v>65</v>
      </c>
      <c r="AH8" s="30"/>
      <c r="AI8" s="30"/>
      <c r="AJ8" s="30"/>
      <c r="AK8" s="264" t="s">
        <v>39</v>
      </c>
      <c r="AL8" s="264" t="s">
        <v>66</v>
      </c>
      <c r="AM8" s="264" t="s">
        <v>67</v>
      </c>
      <c r="AN8" s="264" t="s">
        <v>68</v>
      </c>
      <c r="AO8" s="264" t="s">
        <v>58</v>
      </c>
      <c r="AP8" s="264" t="s">
        <v>69</v>
      </c>
      <c r="AQ8" s="264" t="s">
        <v>70</v>
      </c>
      <c r="AR8" s="264" t="s">
        <v>71</v>
      </c>
      <c r="AS8" s="30"/>
      <c r="AT8" s="264" t="s">
        <v>60</v>
      </c>
      <c r="AU8" s="30"/>
      <c r="AV8" s="30"/>
      <c r="AW8" s="30"/>
      <c r="AX8" s="30"/>
      <c r="AY8" s="30"/>
    </row>
    <row r="9" spans="1:52" ht="25.5" customHeight="1">
      <c r="A9" s="272"/>
      <c r="B9" s="276"/>
      <c r="C9" s="277"/>
      <c r="D9" s="277"/>
      <c r="E9" s="278"/>
      <c r="F9" s="282"/>
      <c r="G9" s="283"/>
      <c r="H9" s="283"/>
      <c r="I9" s="283"/>
      <c r="J9" s="283"/>
      <c r="K9" s="284"/>
      <c r="L9" s="267"/>
      <c r="M9" s="265"/>
      <c r="N9" s="265"/>
      <c r="O9" s="265"/>
      <c r="P9" s="265"/>
      <c r="Q9" s="265"/>
      <c r="R9" s="31"/>
      <c r="S9" s="31"/>
      <c r="T9" s="265"/>
      <c r="U9" s="31"/>
      <c r="V9" s="31"/>
      <c r="W9" s="31"/>
      <c r="X9" s="31"/>
      <c r="Y9" s="31"/>
      <c r="Z9" s="31"/>
      <c r="AA9" s="265"/>
      <c r="AB9" s="267"/>
      <c r="AC9" s="265"/>
      <c r="AD9" s="265"/>
      <c r="AE9" s="265"/>
      <c r="AF9" s="31"/>
      <c r="AG9" s="31"/>
      <c r="AH9" s="31"/>
      <c r="AI9" s="31"/>
      <c r="AJ9" s="31"/>
      <c r="AK9" s="265"/>
      <c r="AL9" s="265"/>
      <c r="AM9" s="265"/>
      <c r="AN9" s="265"/>
      <c r="AO9" s="265"/>
      <c r="AP9" s="265"/>
      <c r="AQ9" s="265"/>
      <c r="AR9" s="265"/>
      <c r="AS9" s="31"/>
      <c r="AT9" s="265"/>
      <c r="AU9" s="31"/>
      <c r="AV9" s="31"/>
      <c r="AW9" s="31"/>
      <c r="AX9" s="31"/>
      <c r="AY9" s="31"/>
      <c r="AZ9" s="29">
        <f t="shared" ref="AZ9:AZ34" si="0">L9-AM9-AO9</f>
        <v>0</v>
      </c>
    </row>
    <row r="10" spans="1:52" ht="20.100000000000001" customHeight="1">
      <c r="A10" s="32"/>
      <c r="B10" s="33"/>
      <c r="C10" s="254" t="s">
        <v>72</v>
      </c>
      <c r="D10" s="254"/>
      <c r="E10" s="255"/>
      <c r="F10" s="286"/>
      <c r="G10" s="287"/>
      <c r="H10" s="287"/>
      <c r="I10" s="287"/>
      <c r="J10" s="287"/>
      <c r="K10" s="288"/>
      <c r="L10" s="34">
        <f>L12+L13</f>
        <v>170500000</v>
      </c>
      <c r="M10" s="34">
        <f t="shared" ref="M10:AE10" si="1">M12+M13</f>
        <v>49086250</v>
      </c>
      <c r="N10" s="34">
        <f t="shared" si="1"/>
        <v>0</v>
      </c>
      <c r="O10" s="34">
        <f t="shared" si="1"/>
        <v>0</v>
      </c>
      <c r="P10" s="34">
        <f t="shared" si="1"/>
        <v>0</v>
      </c>
      <c r="Q10" s="34">
        <f t="shared" si="1"/>
        <v>0</v>
      </c>
      <c r="R10" s="34">
        <f t="shared" si="1"/>
        <v>0</v>
      </c>
      <c r="S10" s="34">
        <f t="shared" si="1"/>
        <v>0</v>
      </c>
      <c r="T10" s="34">
        <f t="shared" si="1"/>
        <v>49206300</v>
      </c>
      <c r="U10" s="34">
        <f t="shared" si="1"/>
        <v>0</v>
      </c>
      <c r="V10" s="34">
        <f t="shared" si="1"/>
        <v>0</v>
      </c>
      <c r="W10" s="34">
        <f t="shared" si="1"/>
        <v>0</v>
      </c>
      <c r="X10" s="34">
        <f t="shared" si="1"/>
        <v>0</v>
      </c>
      <c r="Y10" s="34">
        <f t="shared" si="1"/>
        <v>0</v>
      </c>
      <c r="Z10" s="34">
        <f t="shared" si="1"/>
        <v>0</v>
      </c>
      <c r="AA10" s="34">
        <f t="shared" si="1"/>
        <v>47279650</v>
      </c>
      <c r="AB10" s="34">
        <f>AB12+AB13</f>
        <v>170500000</v>
      </c>
      <c r="AC10" s="34">
        <f>L10-AB10</f>
        <v>0</v>
      </c>
      <c r="AD10" s="34">
        <f t="shared" si="1"/>
        <v>24927800</v>
      </c>
      <c r="AE10" s="34">
        <f t="shared" si="1"/>
        <v>341000000</v>
      </c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34"/>
      <c r="AS10" s="34"/>
      <c r="AT10" s="34">
        <v>47279650</v>
      </c>
      <c r="AU10" s="34"/>
      <c r="AV10" s="34"/>
      <c r="AW10" s="34"/>
      <c r="AX10" s="34"/>
      <c r="AY10" s="34"/>
      <c r="AZ10" s="29">
        <f t="shared" si="0"/>
        <v>170500000</v>
      </c>
    </row>
    <row r="11" spans="1:52" ht="20.100000000000001" customHeight="1">
      <c r="A11" s="32"/>
      <c r="B11" s="33"/>
      <c r="C11" s="254" t="s">
        <v>73</v>
      </c>
      <c r="D11" s="254"/>
      <c r="E11" s="255"/>
      <c r="F11" s="256" t="s">
        <v>74</v>
      </c>
      <c r="G11" s="254"/>
      <c r="H11" s="254"/>
      <c r="I11" s="254"/>
      <c r="J11" s="254"/>
      <c r="K11" s="255"/>
      <c r="L11" s="34">
        <v>170500000</v>
      </c>
      <c r="M11" s="34">
        <v>49086250</v>
      </c>
      <c r="N11" s="34"/>
      <c r="O11" s="34"/>
      <c r="P11" s="34"/>
      <c r="Q11" s="34"/>
      <c r="R11" s="34"/>
      <c r="S11" s="34"/>
      <c r="T11" s="34">
        <v>49206300</v>
      </c>
      <c r="U11" s="34"/>
      <c r="V11" s="34"/>
      <c r="W11" s="34"/>
      <c r="X11" s="34"/>
      <c r="Y11" s="34"/>
      <c r="Z11" s="34"/>
      <c r="AA11" s="34">
        <v>47279650</v>
      </c>
      <c r="AB11" s="34">
        <v>170500000</v>
      </c>
      <c r="AC11" s="34">
        <f>L11-AB11</f>
        <v>0</v>
      </c>
      <c r="AD11" s="34">
        <v>47279650</v>
      </c>
      <c r="AE11" s="34">
        <f>SUM(M11:AD11)</f>
        <v>363351850</v>
      </c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>
        <v>47279650</v>
      </c>
      <c r="AU11" s="34"/>
      <c r="AV11" s="34"/>
      <c r="AW11" s="34"/>
      <c r="AX11" s="34"/>
      <c r="AY11" s="34"/>
      <c r="AZ11" s="29">
        <f t="shared" si="0"/>
        <v>170500000</v>
      </c>
    </row>
    <row r="12" spans="1:52" ht="20.100000000000001" customHeight="1">
      <c r="A12" s="32"/>
      <c r="B12" s="33"/>
      <c r="C12" s="254" t="s">
        <v>75</v>
      </c>
      <c r="D12" s="254"/>
      <c r="E12" s="255"/>
      <c r="F12" s="33"/>
      <c r="G12" s="35"/>
      <c r="H12" s="254" t="s">
        <v>76</v>
      </c>
      <c r="I12" s="254"/>
      <c r="J12" s="254"/>
      <c r="K12" s="255"/>
      <c r="L12" s="34">
        <v>33000000</v>
      </c>
      <c r="M12" s="34">
        <v>9500000</v>
      </c>
      <c r="N12" s="34"/>
      <c r="O12" s="34"/>
      <c r="P12" s="34"/>
      <c r="Q12" s="34"/>
      <c r="R12" s="34"/>
      <c r="S12" s="34"/>
      <c r="T12" s="34">
        <v>9523800</v>
      </c>
      <c r="U12" s="34"/>
      <c r="V12" s="34"/>
      <c r="W12" s="34"/>
      <c r="X12" s="34"/>
      <c r="Y12" s="34"/>
      <c r="Z12" s="34"/>
      <c r="AA12" s="34">
        <v>9150900</v>
      </c>
      <c r="AB12" s="34">
        <v>33000000</v>
      </c>
      <c r="AC12" s="34">
        <f>L12-AB12</f>
        <v>0</v>
      </c>
      <c r="AD12" s="34">
        <v>4825300</v>
      </c>
      <c r="AE12" s="34">
        <f>SUM(M12:AD12)</f>
        <v>66000000</v>
      </c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>
        <v>9150900</v>
      </c>
      <c r="AU12" s="34"/>
      <c r="AV12" s="34"/>
      <c r="AW12" s="34"/>
      <c r="AX12" s="34"/>
      <c r="AY12" s="34"/>
      <c r="AZ12" s="29">
        <f t="shared" si="0"/>
        <v>33000000</v>
      </c>
    </row>
    <row r="13" spans="1:52" ht="20.100000000000001" customHeight="1">
      <c r="A13" s="32"/>
      <c r="B13" s="33"/>
      <c r="C13" s="254" t="s">
        <v>77</v>
      </c>
      <c r="D13" s="254"/>
      <c r="E13" s="255"/>
      <c r="F13" s="33"/>
      <c r="G13" s="35"/>
      <c r="H13" s="254" t="s">
        <v>78</v>
      </c>
      <c r="I13" s="254"/>
      <c r="J13" s="254"/>
      <c r="K13" s="255"/>
      <c r="L13" s="34">
        <v>137500000</v>
      </c>
      <c r="M13" s="34">
        <v>39586250</v>
      </c>
      <c r="N13" s="34"/>
      <c r="O13" s="34"/>
      <c r="P13" s="34"/>
      <c r="Q13" s="34"/>
      <c r="R13" s="34"/>
      <c r="S13" s="34"/>
      <c r="T13" s="34">
        <v>39682500</v>
      </c>
      <c r="U13" s="34"/>
      <c r="V13" s="34"/>
      <c r="W13" s="34"/>
      <c r="X13" s="34"/>
      <c r="Y13" s="34"/>
      <c r="Z13" s="34"/>
      <c r="AA13" s="34">
        <v>38128750</v>
      </c>
      <c r="AB13" s="34">
        <v>137500000</v>
      </c>
      <c r="AC13" s="34">
        <f>L13-AB13</f>
        <v>0</v>
      </c>
      <c r="AD13" s="34">
        <v>20102500</v>
      </c>
      <c r="AE13" s="34">
        <f>SUM(M13:AD13)</f>
        <v>275000000</v>
      </c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  <c r="AS13" s="34">
        <f>AL13/L15*100</f>
        <v>0</v>
      </c>
      <c r="AT13" s="34">
        <v>38128750</v>
      </c>
      <c r="AU13" s="34"/>
      <c r="AV13" s="34"/>
      <c r="AW13" s="34"/>
      <c r="AX13" s="34"/>
      <c r="AY13" s="34"/>
      <c r="AZ13" s="29">
        <f t="shared" si="0"/>
        <v>137500000</v>
      </c>
    </row>
    <row r="14" spans="1:52" ht="20.100000000000001" customHeight="1">
      <c r="A14" s="32"/>
      <c r="B14" s="33"/>
      <c r="C14" s="35"/>
      <c r="D14" s="35"/>
      <c r="E14" s="36"/>
      <c r="F14" s="33"/>
      <c r="G14" s="35"/>
      <c r="H14" s="35"/>
      <c r="I14" s="35"/>
      <c r="J14" s="35"/>
      <c r="K14" s="36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7"/>
      <c r="AM14" s="37"/>
      <c r="AN14" s="37"/>
      <c r="AO14" s="37"/>
      <c r="AP14" s="37"/>
      <c r="AQ14" s="37"/>
      <c r="AR14" s="37"/>
      <c r="AS14" s="38"/>
      <c r="AT14" s="32"/>
      <c r="AU14" s="32"/>
      <c r="AV14" s="32"/>
      <c r="AW14" s="32"/>
      <c r="AX14" s="32"/>
      <c r="AY14" s="39"/>
      <c r="AZ14" s="29">
        <f t="shared" si="0"/>
        <v>0</v>
      </c>
    </row>
    <row r="15" spans="1:52" ht="20.100000000000001" customHeight="1">
      <c r="A15" s="40" t="s">
        <v>79</v>
      </c>
      <c r="B15" s="41"/>
      <c r="C15" s="259" t="s">
        <v>80</v>
      </c>
      <c r="D15" s="259"/>
      <c r="E15" s="260"/>
      <c r="F15" s="285" t="s">
        <v>10</v>
      </c>
      <c r="G15" s="259"/>
      <c r="H15" s="259"/>
      <c r="I15" s="259"/>
      <c r="J15" s="259"/>
      <c r="K15" s="260"/>
      <c r="L15" s="42">
        <f>L16+L27+L29</f>
        <v>6232337000</v>
      </c>
      <c r="M15" s="42">
        <f t="shared" ref="M15:AA15" si="2">M16+M27+M29</f>
        <v>1426763108</v>
      </c>
      <c r="N15" s="42">
        <f t="shared" si="2"/>
        <v>0</v>
      </c>
      <c r="O15" s="42">
        <f t="shared" si="2"/>
        <v>0</v>
      </c>
      <c r="P15" s="42">
        <f t="shared" si="2"/>
        <v>0</v>
      </c>
      <c r="Q15" s="42">
        <f t="shared" si="2"/>
        <v>0</v>
      </c>
      <c r="R15" s="42">
        <f t="shared" si="2"/>
        <v>0</v>
      </c>
      <c r="S15" s="42">
        <f t="shared" si="2"/>
        <v>0</v>
      </c>
      <c r="T15" s="42">
        <f t="shared" si="2"/>
        <v>2102808680</v>
      </c>
      <c r="U15" s="42">
        <f t="shared" si="2"/>
        <v>0</v>
      </c>
      <c r="V15" s="42">
        <f t="shared" si="2"/>
        <v>0</v>
      </c>
      <c r="W15" s="42">
        <f t="shared" si="2"/>
        <v>0</v>
      </c>
      <c r="X15" s="42">
        <f t="shared" si="2"/>
        <v>0</v>
      </c>
      <c r="Y15" s="42">
        <f t="shared" si="2"/>
        <v>0</v>
      </c>
      <c r="Z15" s="42">
        <f t="shared" si="2"/>
        <v>0</v>
      </c>
      <c r="AA15" s="42">
        <f t="shared" si="2"/>
        <v>1429688108</v>
      </c>
      <c r="AB15" s="42">
        <f>AB16+AB27+AB29</f>
        <v>6048349000</v>
      </c>
      <c r="AC15" s="42">
        <f>AB15-L15</f>
        <v>-183988000</v>
      </c>
      <c r="AD15" s="42">
        <f>AD16+AD27+AD29</f>
        <v>1429688108</v>
      </c>
      <c r="AE15" s="42">
        <f>AE16+AE27+AE29</f>
        <v>0</v>
      </c>
      <c r="AF15" s="42"/>
      <c r="AG15" s="42">
        <f>AG16+AG27+AG29</f>
        <v>4389737764</v>
      </c>
      <c r="AH15" s="42"/>
      <c r="AI15" s="42"/>
      <c r="AJ15" s="42"/>
      <c r="AK15" s="42">
        <f>AK16+AK28</f>
        <v>4772820928</v>
      </c>
      <c r="AL15" s="42">
        <f>AB15-AK15</f>
        <v>1275528072</v>
      </c>
      <c r="AM15" s="42">
        <f>AM16+AM28</f>
        <v>383083164</v>
      </c>
      <c r="AN15" s="42">
        <f>AN16+AN28</f>
        <v>444161514</v>
      </c>
      <c r="AO15" s="42">
        <f>AB15-AK15-AM15-AN15</f>
        <v>448283394</v>
      </c>
      <c r="AP15" s="42">
        <f>AO15/AB15*100</f>
        <v>7.4116654644102056</v>
      </c>
      <c r="AQ15" s="42">
        <f>AK15+AM15+AN15</f>
        <v>5600065606</v>
      </c>
      <c r="AR15" s="42">
        <f>AQ15/AB15*100</f>
        <v>92.588334535589794</v>
      </c>
      <c r="AS15" s="42"/>
      <c r="AT15" s="42"/>
      <c r="AU15" s="42"/>
      <c r="AV15" s="42"/>
      <c r="AW15" s="42"/>
      <c r="AX15" s="42"/>
      <c r="AY15" s="42"/>
      <c r="AZ15" s="29">
        <f t="shared" si="0"/>
        <v>5400970442</v>
      </c>
    </row>
    <row r="16" spans="1:52" ht="20.100000000000001" customHeight="1">
      <c r="A16" s="43"/>
      <c r="B16" s="44"/>
      <c r="C16" s="256" t="s">
        <v>81</v>
      </c>
      <c r="D16" s="254"/>
      <c r="E16" s="255"/>
      <c r="G16" s="256" t="s">
        <v>25</v>
      </c>
      <c r="H16" s="254"/>
      <c r="I16" s="254"/>
      <c r="J16" s="254"/>
      <c r="K16" s="255"/>
      <c r="L16" s="34">
        <f>SUM(L17:L26)</f>
        <v>5227012000</v>
      </c>
      <c r="M16" s="45">
        <f t="shared" ref="M16:AG16" si="3">SUM(M17:M26)</f>
        <v>1194993108</v>
      </c>
      <c r="N16" s="45">
        <f t="shared" si="3"/>
        <v>0</v>
      </c>
      <c r="O16" s="45">
        <f t="shared" si="3"/>
        <v>0</v>
      </c>
      <c r="P16" s="45">
        <f t="shared" si="3"/>
        <v>0</v>
      </c>
      <c r="Q16" s="45">
        <f t="shared" si="3"/>
        <v>0</v>
      </c>
      <c r="R16" s="45">
        <f t="shared" si="3"/>
        <v>0</v>
      </c>
      <c r="S16" s="45">
        <f t="shared" si="3"/>
        <v>0</v>
      </c>
      <c r="T16" s="34">
        <f t="shared" si="3"/>
        <v>1871038680</v>
      </c>
      <c r="U16" s="34">
        <f t="shared" si="3"/>
        <v>0</v>
      </c>
      <c r="V16" s="34">
        <f t="shared" si="3"/>
        <v>0</v>
      </c>
      <c r="W16" s="34">
        <f t="shared" si="3"/>
        <v>0</v>
      </c>
      <c r="X16" s="34">
        <f t="shared" si="3"/>
        <v>0</v>
      </c>
      <c r="Y16" s="34">
        <f t="shared" si="3"/>
        <v>0</v>
      </c>
      <c r="Z16" s="34">
        <f t="shared" si="3"/>
        <v>0</v>
      </c>
      <c r="AA16" s="34">
        <f t="shared" si="3"/>
        <v>1194993108</v>
      </c>
      <c r="AB16" s="34">
        <f>SUM(AB17:AB26)</f>
        <v>5124904000</v>
      </c>
      <c r="AC16" s="34">
        <f>AB16-L16</f>
        <v>-102108000</v>
      </c>
      <c r="AD16" s="34">
        <f t="shared" si="3"/>
        <v>1194993108</v>
      </c>
      <c r="AE16" s="34">
        <f t="shared" si="3"/>
        <v>0</v>
      </c>
      <c r="AF16" s="34"/>
      <c r="AG16" s="34">
        <f t="shared" si="3"/>
        <v>3762227664</v>
      </c>
      <c r="AH16" s="34"/>
      <c r="AI16" s="34"/>
      <c r="AJ16" s="34"/>
      <c r="AK16" s="34">
        <f>SUM(AK17:AK26)</f>
        <v>4084232478</v>
      </c>
      <c r="AL16" s="34">
        <f>AB16-AK16</f>
        <v>1040671522</v>
      </c>
      <c r="AM16" s="34">
        <f>SUM(AM17:AM26)</f>
        <v>322004814</v>
      </c>
      <c r="AN16" s="34">
        <f>SUM(AN17:AN26)</f>
        <v>322004814</v>
      </c>
      <c r="AO16" s="34">
        <f>AB16-AK16-AM16-AN16</f>
        <v>396661894</v>
      </c>
      <c r="AP16" s="34">
        <f>AO16/AB16*100</f>
        <v>7.7398892545109135</v>
      </c>
      <c r="AQ16" s="34">
        <f>AK16+AM16+AN16</f>
        <v>4728242106</v>
      </c>
      <c r="AR16" s="34">
        <f>AQ16/AB16*100</f>
        <v>92.260110745489087</v>
      </c>
      <c r="AS16" s="34"/>
      <c r="AT16" s="34"/>
      <c r="AU16" s="34"/>
      <c r="AV16" s="34"/>
      <c r="AW16" s="34"/>
      <c r="AX16" s="34"/>
      <c r="AY16" s="34"/>
      <c r="AZ16" s="29">
        <f t="shared" si="0"/>
        <v>4508345292</v>
      </c>
    </row>
    <row r="17" spans="1:52" ht="20.100000000000001" customHeight="1">
      <c r="A17" s="43"/>
      <c r="B17" s="44"/>
      <c r="C17" s="254" t="s">
        <v>82</v>
      </c>
      <c r="D17" s="254"/>
      <c r="E17" s="255"/>
      <c r="F17" s="32"/>
      <c r="G17" s="32"/>
      <c r="H17" s="256" t="s">
        <v>27</v>
      </c>
      <c r="I17" s="254"/>
      <c r="J17" s="254"/>
      <c r="K17" s="255"/>
      <c r="L17" s="34">
        <v>4034142000</v>
      </c>
      <c r="M17" s="34">
        <v>917303358</v>
      </c>
      <c r="N17" s="34"/>
      <c r="O17" s="34"/>
      <c r="P17" s="34"/>
      <c r="Q17" s="34"/>
      <c r="R17" s="34"/>
      <c r="S17" s="34"/>
      <c r="T17" s="34">
        <v>1528838930</v>
      </c>
      <c r="U17" s="34"/>
      <c r="V17" s="34"/>
      <c r="W17" s="34"/>
      <c r="X17" s="34"/>
      <c r="Y17" s="34"/>
      <c r="Z17" s="34"/>
      <c r="AA17" s="34">
        <v>917303358</v>
      </c>
      <c r="AB17" s="34">
        <v>3972577000</v>
      </c>
      <c r="AC17" s="34">
        <f>AB17-L17</f>
        <v>-61565000</v>
      </c>
      <c r="AD17" s="34">
        <v>917303358</v>
      </c>
      <c r="AE17" s="34"/>
      <c r="AF17" s="34"/>
      <c r="AG17" s="34">
        <v>2932577088</v>
      </c>
      <c r="AH17" s="34"/>
      <c r="AI17" s="34"/>
      <c r="AJ17" s="34"/>
      <c r="AK17" s="34">
        <v>3181028288</v>
      </c>
      <c r="AL17" s="34">
        <f>AB17-AK17</f>
        <v>791548712</v>
      </c>
      <c r="AM17" s="34">
        <v>248451200</v>
      </c>
      <c r="AN17" s="34">
        <v>248451200</v>
      </c>
      <c r="AO17" s="34">
        <f t="shared" ref="AO17:AO30" si="4">AB17-AK17-AM17-AN17</f>
        <v>294646312</v>
      </c>
      <c r="AP17" s="34">
        <f t="shared" ref="AP17:AP30" si="5">AO17/AB17*100</f>
        <v>7.4170069453656913</v>
      </c>
      <c r="AQ17" s="34">
        <f t="shared" ref="AQ17:AQ30" si="6">AK17+AM17+AN17</f>
        <v>3677930688</v>
      </c>
      <c r="AR17" s="34">
        <f t="shared" ref="AR17:AR30" si="7">AQ17/AB17*100</f>
        <v>92.582993054634315</v>
      </c>
      <c r="AS17" s="34"/>
      <c r="AT17" s="34"/>
      <c r="AU17" s="34"/>
      <c r="AV17" s="34"/>
      <c r="AW17" s="34"/>
      <c r="AX17" s="34"/>
      <c r="AY17" s="34"/>
      <c r="AZ17" s="29">
        <f t="shared" si="0"/>
        <v>3491044488</v>
      </c>
    </row>
    <row r="18" spans="1:52" ht="20.100000000000001" customHeight="1">
      <c r="A18" s="43"/>
      <c r="B18" s="44"/>
      <c r="C18" s="254" t="s">
        <v>83</v>
      </c>
      <c r="D18" s="254"/>
      <c r="E18" s="255"/>
      <c r="F18" s="32"/>
      <c r="G18" s="32"/>
      <c r="H18" s="256" t="s">
        <v>84</v>
      </c>
      <c r="I18" s="254"/>
      <c r="J18" s="254"/>
      <c r="K18" s="255"/>
      <c r="L18" s="34">
        <v>394486000</v>
      </c>
      <c r="M18" s="34">
        <v>90090000</v>
      </c>
      <c r="N18" s="34"/>
      <c r="O18" s="34"/>
      <c r="P18" s="34"/>
      <c r="Q18" s="34"/>
      <c r="R18" s="34"/>
      <c r="S18" s="34"/>
      <c r="T18" s="34">
        <v>120121000</v>
      </c>
      <c r="U18" s="34"/>
      <c r="V18" s="34"/>
      <c r="W18" s="34"/>
      <c r="X18" s="34"/>
      <c r="Y18" s="34"/>
      <c r="Z18" s="34"/>
      <c r="AA18" s="34">
        <v>90090000</v>
      </c>
      <c r="AB18" s="34">
        <v>371231000</v>
      </c>
      <c r="AC18" s="34">
        <f t="shared" ref="AC18:AC30" si="8">AB18-L18</f>
        <v>-23255000</v>
      </c>
      <c r="AD18" s="34">
        <v>90090000</v>
      </c>
      <c r="AE18" s="34"/>
      <c r="AF18" s="34"/>
      <c r="AG18" s="34">
        <v>281568622</v>
      </c>
      <c r="AH18" s="34"/>
      <c r="AI18" s="34"/>
      <c r="AJ18" s="34"/>
      <c r="AK18" s="34">
        <v>305077428</v>
      </c>
      <c r="AL18" s="34">
        <f t="shared" ref="AL18:AL30" si="9">AB18-AK18</f>
        <v>66153572</v>
      </c>
      <c r="AM18" s="34">
        <v>23508806</v>
      </c>
      <c r="AN18" s="34">
        <v>23508806</v>
      </c>
      <c r="AO18" s="34">
        <f t="shared" si="4"/>
        <v>19135960</v>
      </c>
      <c r="AP18" s="34">
        <f t="shared" si="5"/>
        <v>5.1547311512239009</v>
      </c>
      <c r="AQ18" s="34">
        <f t="shared" si="6"/>
        <v>352095040</v>
      </c>
      <c r="AR18" s="34">
        <f t="shared" si="7"/>
        <v>94.845268848776101</v>
      </c>
      <c r="AS18" s="34"/>
      <c r="AT18" s="34"/>
      <c r="AU18" s="34"/>
      <c r="AV18" s="34"/>
      <c r="AW18" s="34"/>
      <c r="AX18" s="34"/>
      <c r="AY18" s="34"/>
      <c r="AZ18" s="29">
        <f t="shared" si="0"/>
        <v>351841234</v>
      </c>
    </row>
    <row r="19" spans="1:52" ht="20.100000000000001" customHeight="1">
      <c r="A19" s="43"/>
      <c r="B19" s="44"/>
      <c r="C19" s="254" t="s">
        <v>85</v>
      </c>
      <c r="D19" s="254"/>
      <c r="E19" s="255"/>
      <c r="F19" s="32"/>
      <c r="G19" s="32"/>
      <c r="H19" s="256" t="s">
        <v>86</v>
      </c>
      <c r="I19" s="254"/>
      <c r="J19" s="254"/>
      <c r="K19" s="255"/>
      <c r="L19" s="34">
        <v>160790000</v>
      </c>
      <c r="M19" s="34">
        <v>38865000</v>
      </c>
      <c r="N19" s="34"/>
      <c r="O19" s="34"/>
      <c r="P19" s="34"/>
      <c r="Q19" s="34"/>
      <c r="R19" s="34"/>
      <c r="S19" s="34"/>
      <c r="T19" s="34">
        <v>51820000</v>
      </c>
      <c r="U19" s="34"/>
      <c r="V19" s="34"/>
      <c r="W19" s="34"/>
      <c r="X19" s="34"/>
      <c r="Y19" s="34"/>
      <c r="Z19" s="34"/>
      <c r="AA19" s="34">
        <v>38865000</v>
      </c>
      <c r="AB19" s="34">
        <v>148050000</v>
      </c>
      <c r="AC19" s="34">
        <f t="shared" si="8"/>
        <v>-12740000</v>
      </c>
      <c r="AD19" s="34">
        <v>38865000</v>
      </c>
      <c r="AE19" s="34"/>
      <c r="AF19" s="34"/>
      <c r="AG19" s="34">
        <v>111505000</v>
      </c>
      <c r="AH19" s="34"/>
      <c r="AI19" s="34"/>
      <c r="AJ19" s="34"/>
      <c r="AK19" s="34">
        <v>120840000</v>
      </c>
      <c r="AL19" s="34">
        <f t="shared" si="9"/>
        <v>27210000</v>
      </c>
      <c r="AM19" s="34">
        <v>9335000</v>
      </c>
      <c r="AN19" s="34">
        <v>9335000</v>
      </c>
      <c r="AO19" s="34">
        <f t="shared" si="4"/>
        <v>8540000</v>
      </c>
      <c r="AP19" s="34">
        <f t="shared" si="5"/>
        <v>5.7683215130023644</v>
      </c>
      <c r="AQ19" s="34">
        <f t="shared" si="6"/>
        <v>139510000</v>
      </c>
      <c r="AR19" s="34">
        <f t="shared" si="7"/>
        <v>94.231678486997637</v>
      </c>
      <c r="AS19" s="34"/>
      <c r="AT19" s="34"/>
      <c r="AU19" s="34"/>
      <c r="AV19" s="34"/>
      <c r="AW19" s="34"/>
      <c r="AX19" s="34"/>
      <c r="AY19" s="34"/>
      <c r="AZ19" s="29">
        <f t="shared" si="0"/>
        <v>142915000</v>
      </c>
    </row>
    <row r="20" spans="1:52" ht="20.100000000000001" customHeight="1">
      <c r="A20" s="43"/>
      <c r="B20" s="44"/>
      <c r="C20" s="254" t="s">
        <v>87</v>
      </c>
      <c r="D20" s="254"/>
      <c r="E20" s="255"/>
      <c r="F20" s="32"/>
      <c r="G20" s="32"/>
      <c r="H20" s="256" t="s">
        <v>88</v>
      </c>
      <c r="I20" s="254"/>
      <c r="J20" s="254"/>
      <c r="K20" s="255"/>
      <c r="L20" s="34">
        <v>225190000</v>
      </c>
      <c r="M20" s="34">
        <v>45600000</v>
      </c>
      <c r="N20" s="34"/>
      <c r="O20" s="34"/>
      <c r="P20" s="34"/>
      <c r="Q20" s="34"/>
      <c r="R20" s="34"/>
      <c r="S20" s="34"/>
      <c r="T20" s="34">
        <v>60800000</v>
      </c>
      <c r="U20" s="34"/>
      <c r="V20" s="34"/>
      <c r="W20" s="34"/>
      <c r="X20" s="34"/>
      <c r="Y20" s="34"/>
      <c r="Z20" s="34"/>
      <c r="AA20" s="34">
        <v>45600000</v>
      </c>
      <c r="AB20" s="34">
        <v>225190000</v>
      </c>
      <c r="AC20" s="34">
        <f t="shared" si="8"/>
        <v>0</v>
      </c>
      <c r="AD20" s="34">
        <v>45600000</v>
      </c>
      <c r="AE20" s="34"/>
      <c r="AF20" s="34"/>
      <c r="AG20" s="34">
        <v>167530000</v>
      </c>
      <c r="AH20" s="34"/>
      <c r="AI20" s="34"/>
      <c r="AJ20" s="34"/>
      <c r="AK20" s="34">
        <v>182315000</v>
      </c>
      <c r="AL20" s="34">
        <f t="shared" si="9"/>
        <v>42875000</v>
      </c>
      <c r="AM20" s="34">
        <v>14785000</v>
      </c>
      <c r="AN20" s="34">
        <v>14785000</v>
      </c>
      <c r="AO20" s="34">
        <f t="shared" si="4"/>
        <v>13305000</v>
      </c>
      <c r="AP20" s="34">
        <f t="shared" si="5"/>
        <v>5.908344065011768</v>
      </c>
      <c r="AQ20" s="34">
        <f t="shared" si="6"/>
        <v>211885000</v>
      </c>
      <c r="AR20" s="34">
        <f t="shared" si="7"/>
        <v>94.091655934988225</v>
      </c>
      <c r="AS20" s="34"/>
      <c r="AT20" s="34"/>
      <c r="AU20" s="34"/>
      <c r="AV20" s="34"/>
      <c r="AW20" s="34"/>
      <c r="AX20" s="34"/>
      <c r="AY20" s="34"/>
      <c r="AZ20" s="29">
        <f t="shared" si="0"/>
        <v>197100000</v>
      </c>
    </row>
    <row r="21" spans="1:52" ht="20.100000000000001" customHeight="1">
      <c r="A21" s="43"/>
      <c r="B21" s="44"/>
      <c r="C21" s="254" t="s">
        <v>89</v>
      </c>
      <c r="D21" s="254"/>
      <c r="E21" s="255"/>
      <c r="F21" s="32"/>
      <c r="G21" s="32"/>
      <c r="H21" s="256" t="s">
        <v>11</v>
      </c>
      <c r="I21" s="254"/>
      <c r="J21" s="254"/>
      <c r="K21" s="255"/>
      <c r="L21" s="34">
        <v>54581000</v>
      </c>
      <c r="M21" s="34">
        <v>15867000</v>
      </c>
      <c r="N21" s="34"/>
      <c r="O21" s="34"/>
      <c r="P21" s="34"/>
      <c r="Q21" s="34"/>
      <c r="R21" s="34"/>
      <c r="S21" s="34"/>
      <c r="T21" s="34">
        <v>21156000</v>
      </c>
      <c r="U21" s="34"/>
      <c r="V21" s="34"/>
      <c r="W21" s="34"/>
      <c r="X21" s="34"/>
      <c r="Y21" s="34"/>
      <c r="Z21" s="34"/>
      <c r="AA21" s="34">
        <v>15867000</v>
      </c>
      <c r="AB21" s="34">
        <v>46733000</v>
      </c>
      <c r="AC21" s="34">
        <f t="shared" si="8"/>
        <v>-7848000</v>
      </c>
      <c r="AD21" s="34">
        <v>15867000</v>
      </c>
      <c r="AE21" s="34"/>
      <c r="AF21" s="34"/>
      <c r="AG21" s="34">
        <v>36510000</v>
      </c>
      <c r="AH21" s="34"/>
      <c r="AI21" s="34"/>
      <c r="AJ21" s="34"/>
      <c r="AK21" s="34">
        <v>39445000</v>
      </c>
      <c r="AL21" s="34">
        <f t="shared" si="9"/>
        <v>7288000</v>
      </c>
      <c r="AM21" s="34">
        <v>2935000</v>
      </c>
      <c r="AN21" s="34">
        <v>2935000</v>
      </c>
      <c r="AO21" s="34">
        <f t="shared" si="4"/>
        <v>1418000</v>
      </c>
      <c r="AP21" s="34">
        <f t="shared" si="5"/>
        <v>3.0342584469218754</v>
      </c>
      <c r="AQ21" s="34">
        <f t="shared" si="6"/>
        <v>45315000</v>
      </c>
      <c r="AR21" s="34">
        <f t="shared" si="7"/>
        <v>96.965741553078118</v>
      </c>
      <c r="AS21" s="34"/>
      <c r="AT21" s="34"/>
      <c r="AU21" s="34"/>
      <c r="AV21" s="34"/>
      <c r="AW21" s="34"/>
      <c r="AX21" s="34"/>
      <c r="AY21" s="34"/>
      <c r="AZ21" s="29">
        <f t="shared" si="0"/>
        <v>50228000</v>
      </c>
    </row>
    <row r="22" spans="1:52" ht="20.100000000000001" customHeight="1">
      <c r="A22" s="43"/>
      <c r="B22" s="44"/>
      <c r="C22" s="254" t="s">
        <v>90</v>
      </c>
      <c r="D22" s="254"/>
      <c r="E22" s="255"/>
      <c r="F22" s="32"/>
      <c r="G22" s="32"/>
      <c r="H22" s="256" t="s">
        <v>91</v>
      </c>
      <c r="I22" s="254"/>
      <c r="J22" s="254"/>
      <c r="K22" s="255"/>
      <c r="L22" s="34">
        <v>195734000</v>
      </c>
      <c r="M22" s="34">
        <v>49660251</v>
      </c>
      <c r="N22" s="34"/>
      <c r="O22" s="34"/>
      <c r="P22" s="34"/>
      <c r="Q22" s="34"/>
      <c r="R22" s="34"/>
      <c r="S22" s="34"/>
      <c r="T22" s="34">
        <v>49660251</v>
      </c>
      <c r="U22" s="34"/>
      <c r="V22" s="34"/>
      <c r="W22" s="34"/>
      <c r="X22" s="34"/>
      <c r="Y22" s="34"/>
      <c r="Z22" s="34"/>
      <c r="AA22" s="34">
        <v>49660251</v>
      </c>
      <c r="AB22" s="34">
        <v>186079000</v>
      </c>
      <c r="AC22" s="34">
        <f t="shared" si="8"/>
        <v>-9655000</v>
      </c>
      <c r="AD22" s="34">
        <v>49660251</v>
      </c>
      <c r="AE22" s="34"/>
      <c r="AF22" s="34"/>
      <c r="AG22" s="34">
        <v>125865960</v>
      </c>
      <c r="AH22" s="34"/>
      <c r="AI22" s="34"/>
      <c r="AJ22" s="34"/>
      <c r="AK22" s="34">
        <v>138901560</v>
      </c>
      <c r="AL22" s="34">
        <f t="shared" si="9"/>
        <v>47177440</v>
      </c>
      <c r="AM22" s="34">
        <v>13035600</v>
      </c>
      <c r="AN22" s="34">
        <v>13035600</v>
      </c>
      <c r="AO22" s="34">
        <f t="shared" si="4"/>
        <v>21106240</v>
      </c>
      <c r="AP22" s="34">
        <f t="shared" si="5"/>
        <v>11.342623294407215</v>
      </c>
      <c r="AQ22" s="34">
        <f t="shared" si="6"/>
        <v>164972760</v>
      </c>
      <c r="AR22" s="34">
        <f t="shared" si="7"/>
        <v>88.657376705592782</v>
      </c>
      <c r="AS22" s="34"/>
      <c r="AT22" s="34"/>
      <c r="AU22" s="34"/>
      <c r="AV22" s="34"/>
      <c r="AW22" s="34"/>
      <c r="AX22" s="34"/>
      <c r="AY22" s="34"/>
      <c r="AZ22" s="29">
        <f t="shared" si="0"/>
        <v>161592160</v>
      </c>
    </row>
    <row r="23" spans="1:52" ht="20.100000000000001" customHeight="1">
      <c r="A23" s="43"/>
      <c r="B23" s="44"/>
      <c r="C23" s="254" t="s">
        <v>92</v>
      </c>
      <c r="D23" s="254"/>
      <c r="E23" s="255"/>
      <c r="F23" s="32"/>
      <c r="G23" s="32"/>
      <c r="H23" s="256" t="s">
        <v>93</v>
      </c>
      <c r="I23" s="254"/>
      <c r="J23" s="254"/>
      <c r="K23" s="255"/>
      <c r="L23" s="34">
        <v>19897000</v>
      </c>
      <c r="M23" s="34">
        <v>1537500</v>
      </c>
      <c r="N23" s="34"/>
      <c r="O23" s="34"/>
      <c r="P23" s="34"/>
      <c r="Q23" s="34"/>
      <c r="R23" s="34"/>
      <c r="S23" s="34"/>
      <c r="T23" s="34">
        <v>2562500</v>
      </c>
      <c r="U23" s="34"/>
      <c r="V23" s="34"/>
      <c r="W23" s="34"/>
      <c r="X23" s="34"/>
      <c r="Y23" s="34"/>
      <c r="Z23" s="34"/>
      <c r="AA23" s="34">
        <v>1537500</v>
      </c>
      <c r="AB23" s="34">
        <v>19065000</v>
      </c>
      <c r="AC23" s="34">
        <f t="shared" si="8"/>
        <v>-832000</v>
      </c>
      <c r="AD23" s="34">
        <v>1537500</v>
      </c>
      <c r="AE23" s="34"/>
      <c r="AF23" s="34"/>
      <c r="AG23" s="34">
        <v>14879584</v>
      </c>
      <c r="AH23" s="34"/>
      <c r="AI23" s="34"/>
      <c r="AJ23" s="34"/>
      <c r="AK23" s="34">
        <v>15329751</v>
      </c>
      <c r="AL23" s="34">
        <f t="shared" si="9"/>
        <v>3735249</v>
      </c>
      <c r="AM23" s="34">
        <v>450167</v>
      </c>
      <c r="AN23" s="34">
        <v>450167</v>
      </c>
      <c r="AO23" s="34">
        <f t="shared" si="4"/>
        <v>2834915</v>
      </c>
      <c r="AP23" s="34">
        <f t="shared" si="5"/>
        <v>14.869735116706007</v>
      </c>
      <c r="AQ23" s="34">
        <f t="shared" si="6"/>
        <v>16230085</v>
      </c>
      <c r="AR23" s="34">
        <f t="shared" si="7"/>
        <v>85.130264883293989</v>
      </c>
      <c r="AS23" s="34"/>
      <c r="AT23" s="34"/>
      <c r="AU23" s="34"/>
      <c r="AV23" s="34"/>
      <c r="AW23" s="34"/>
      <c r="AX23" s="34"/>
      <c r="AY23" s="34"/>
      <c r="AZ23" s="29">
        <f t="shared" si="0"/>
        <v>16611918</v>
      </c>
    </row>
    <row r="24" spans="1:52" ht="20.100000000000001" customHeight="1">
      <c r="A24" s="43"/>
      <c r="B24" s="44"/>
      <c r="C24" s="254" t="s">
        <v>94</v>
      </c>
      <c r="D24" s="254"/>
      <c r="E24" s="255"/>
      <c r="F24" s="32"/>
      <c r="G24" s="32"/>
      <c r="H24" s="256" t="s">
        <v>95</v>
      </c>
      <c r="I24" s="254"/>
      <c r="J24" s="254"/>
      <c r="K24" s="255"/>
      <c r="L24" s="34">
        <v>70000</v>
      </c>
      <c r="M24" s="34">
        <v>15000</v>
      </c>
      <c r="N24" s="34"/>
      <c r="O24" s="34"/>
      <c r="P24" s="34"/>
      <c r="Q24" s="34"/>
      <c r="R24" s="34"/>
      <c r="S24" s="34"/>
      <c r="T24" s="34">
        <v>25000</v>
      </c>
      <c r="U24" s="34"/>
      <c r="V24" s="34"/>
      <c r="W24" s="34"/>
      <c r="X24" s="34"/>
      <c r="Y24" s="34"/>
      <c r="Z24" s="34"/>
      <c r="AA24" s="34">
        <v>15000</v>
      </c>
      <c r="AB24" s="34">
        <v>70000</v>
      </c>
      <c r="AC24" s="34">
        <f t="shared" si="8"/>
        <v>0</v>
      </c>
      <c r="AD24" s="34">
        <v>15000</v>
      </c>
      <c r="AE24" s="34"/>
      <c r="AF24" s="34"/>
      <c r="AG24" s="34">
        <v>39861</v>
      </c>
      <c r="AH24" s="34"/>
      <c r="AI24" s="34"/>
      <c r="AJ24" s="34"/>
      <c r="AK24" s="34">
        <v>43458</v>
      </c>
      <c r="AL24" s="34">
        <f t="shared" si="9"/>
        <v>26542</v>
      </c>
      <c r="AM24" s="34">
        <v>3597</v>
      </c>
      <c r="AN24" s="34">
        <v>3597</v>
      </c>
      <c r="AO24" s="34">
        <f t="shared" si="4"/>
        <v>19348</v>
      </c>
      <c r="AP24" s="34">
        <f t="shared" si="5"/>
        <v>27.639999999999997</v>
      </c>
      <c r="AQ24" s="34">
        <f t="shared" si="6"/>
        <v>50652</v>
      </c>
      <c r="AR24" s="34">
        <f t="shared" si="7"/>
        <v>72.36</v>
      </c>
      <c r="AS24" s="34"/>
      <c r="AT24" s="34"/>
      <c r="AU24" s="34"/>
      <c r="AV24" s="34"/>
      <c r="AW24" s="34"/>
      <c r="AX24" s="34"/>
      <c r="AY24" s="34"/>
      <c r="AZ24" s="29">
        <f t="shared" si="0"/>
        <v>47055</v>
      </c>
    </row>
    <row r="25" spans="1:52" ht="20.100000000000001" customHeight="1">
      <c r="A25" s="43"/>
      <c r="B25" s="44"/>
      <c r="C25" s="254" t="s">
        <v>96</v>
      </c>
      <c r="D25" s="254"/>
      <c r="E25" s="255"/>
      <c r="F25" s="32"/>
      <c r="G25" s="32"/>
      <c r="H25" s="256" t="s">
        <v>28</v>
      </c>
      <c r="I25" s="254"/>
      <c r="J25" s="254"/>
      <c r="K25" s="255"/>
      <c r="L25" s="34">
        <v>122097000</v>
      </c>
      <c r="M25" s="34">
        <v>30977499</v>
      </c>
      <c r="N25" s="34"/>
      <c r="O25" s="34"/>
      <c r="P25" s="34"/>
      <c r="Q25" s="34"/>
      <c r="R25" s="34"/>
      <c r="S25" s="34"/>
      <c r="T25" s="34">
        <v>30977499</v>
      </c>
      <c r="U25" s="34"/>
      <c r="V25" s="34"/>
      <c r="W25" s="34"/>
      <c r="X25" s="34"/>
      <c r="Y25" s="34"/>
      <c r="Z25" s="34"/>
      <c r="AA25" s="34">
        <v>30977499</v>
      </c>
      <c r="AB25" s="34">
        <v>113080000</v>
      </c>
      <c r="AC25" s="34">
        <f t="shared" si="8"/>
        <v>-9017000</v>
      </c>
      <c r="AD25" s="34">
        <v>30977499</v>
      </c>
      <c r="AE25" s="34"/>
      <c r="AF25" s="34"/>
      <c r="AG25" s="34">
        <v>78807875</v>
      </c>
      <c r="AH25" s="34"/>
      <c r="AI25" s="34"/>
      <c r="AJ25" s="34"/>
      <c r="AK25" s="34">
        <v>86966675</v>
      </c>
      <c r="AL25" s="34">
        <f t="shared" si="9"/>
        <v>26113325</v>
      </c>
      <c r="AM25" s="34">
        <v>8158800</v>
      </c>
      <c r="AN25" s="34">
        <v>8158800</v>
      </c>
      <c r="AO25" s="34">
        <f t="shared" si="4"/>
        <v>9795725</v>
      </c>
      <c r="AP25" s="34">
        <f t="shared" si="5"/>
        <v>8.662650336045278</v>
      </c>
      <c r="AQ25" s="34">
        <f t="shared" si="6"/>
        <v>103284275</v>
      </c>
      <c r="AR25" s="34">
        <f t="shared" si="7"/>
        <v>91.337349663954726</v>
      </c>
      <c r="AS25" s="34"/>
      <c r="AT25" s="34"/>
      <c r="AU25" s="34"/>
      <c r="AV25" s="34"/>
      <c r="AW25" s="34"/>
      <c r="AX25" s="34"/>
      <c r="AY25" s="34"/>
      <c r="AZ25" s="29">
        <f t="shared" si="0"/>
        <v>104142475</v>
      </c>
    </row>
    <row r="26" spans="1:52" ht="20.100000000000001" customHeight="1">
      <c r="A26" s="43"/>
      <c r="B26" s="44"/>
      <c r="C26" s="254" t="s">
        <v>97</v>
      </c>
      <c r="D26" s="254"/>
      <c r="E26" s="255"/>
      <c r="F26" s="32"/>
      <c r="G26" s="32"/>
      <c r="H26" s="256" t="s">
        <v>38</v>
      </c>
      <c r="I26" s="254"/>
      <c r="J26" s="254"/>
      <c r="K26" s="255"/>
      <c r="L26" s="34">
        <v>20025000</v>
      </c>
      <c r="M26" s="34">
        <v>5077500</v>
      </c>
      <c r="N26" s="34"/>
      <c r="O26" s="34"/>
      <c r="P26" s="34"/>
      <c r="Q26" s="34"/>
      <c r="R26" s="34"/>
      <c r="S26" s="34"/>
      <c r="T26" s="34">
        <v>5077500</v>
      </c>
      <c r="U26" s="34"/>
      <c r="V26" s="34"/>
      <c r="W26" s="34"/>
      <c r="X26" s="34"/>
      <c r="Y26" s="34"/>
      <c r="Z26" s="34"/>
      <c r="AA26" s="34">
        <v>5077500</v>
      </c>
      <c r="AB26" s="34">
        <v>42829000</v>
      </c>
      <c r="AC26" s="34">
        <f t="shared" si="8"/>
        <v>22804000</v>
      </c>
      <c r="AD26" s="34">
        <v>5077500</v>
      </c>
      <c r="AE26" s="34"/>
      <c r="AF26" s="34"/>
      <c r="AG26" s="34">
        <v>12943674</v>
      </c>
      <c r="AH26" s="34"/>
      <c r="AI26" s="34"/>
      <c r="AJ26" s="34"/>
      <c r="AK26" s="34">
        <v>14285318</v>
      </c>
      <c r="AL26" s="34">
        <f t="shared" si="9"/>
        <v>28543682</v>
      </c>
      <c r="AM26" s="34">
        <v>1341644</v>
      </c>
      <c r="AN26" s="34">
        <v>1341644</v>
      </c>
      <c r="AO26" s="34">
        <f t="shared" si="4"/>
        <v>25860394</v>
      </c>
      <c r="AP26" s="34">
        <f t="shared" si="5"/>
        <v>60.380569240467906</v>
      </c>
      <c r="AQ26" s="34">
        <f t="shared" si="6"/>
        <v>16968606</v>
      </c>
      <c r="AR26" s="34">
        <f t="shared" si="7"/>
        <v>39.619430759532094</v>
      </c>
      <c r="AS26" s="34"/>
      <c r="AT26" s="34"/>
      <c r="AU26" s="34"/>
      <c r="AV26" s="34"/>
      <c r="AW26" s="34"/>
      <c r="AX26" s="34"/>
      <c r="AY26" s="34"/>
      <c r="AZ26" s="29">
        <f t="shared" si="0"/>
        <v>-7177038</v>
      </c>
    </row>
    <row r="27" spans="1:52" ht="20.100000000000001" customHeight="1">
      <c r="A27" s="43"/>
      <c r="B27" s="44"/>
      <c r="C27" s="254" t="s">
        <v>98</v>
      </c>
      <c r="D27" s="254"/>
      <c r="E27" s="255"/>
      <c r="F27" s="32"/>
      <c r="G27" s="256" t="s">
        <v>99</v>
      </c>
      <c r="H27" s="254"/>
      <c r="I27" s="254"/>
      <c r="J27" s="254"/>
      <c r="K27" s="255"/>
      <c r="L27" s="34">
        <v>996800000</v>
      </c>
      <c r="M27" s="34">
        <v>230370000</v>
      </c>
      <c r="N27" s="34"/>
      <c r="O27" s="34"/>
      <c r="P27" s="34"/>
      <c r="Q27" s="34"/>
      <c r="R27" s="34"/>
      <c r="S27" s="34"/>
      <c r="T27" s="34">
        <v>230370000</v>
      </c>
      <c r="U27" s="34"/>
      <c r="V27" s="34"/>
      <c r="W27" s="34"/>
      <c r="X27" s="34"/>
      <c r="Y27" s="34"/>
      <c r="Z27" s="34"/>
      <c r="AA27" s="34">
        <v>230370000</v>
      </c>
      <c r="AB27" s="34">
        <v>914920000</v>
      </c>
      <c r="AC27" s="34">
        <f t="shared" si="8"/>
        <v>-81880000</v>
      </c>
      <c r="AD27" s="34">
        <v>230370000</v>
      </c>
      <c r="AE27" s="34"/>
      <c r="AF27" s="34"/>
      <c r="AG27" s="34">
        <v>627510100</v>
      </c>
      <c r="AH27" s="34"/>
      <c r="AI27" s="34"/>
      <c r="AJ27" s="34"/>
      <c r="AK27" s="34">
        <f>AK28</f>
        <v>688588450</v>
      </c>
      <c r="AL27" s="34">
        <f t="shared" si="9"/>
        <v>226331550</v>
      </c>
      <c r="AM27" s="34">
        <f>AM28</f>
        <v>61078350</v>
      </c>
      <c r="AN27" s="34">
        <f>AN28</f>
        <v>122156700</v>
      </c>
      <c r="AO27" s="34">
        <f t="shared" si="4"/>
        <v>43096500</v>
      </c>
      <c r="AP27" s="34">
        <f t="shared" si="5"/>
        <v>4.7104118392864951</v>
      </c>
      <c r="AQ27" s="34">
        <f t="shared" si="6"/>
        <v>871823500</v>
      </c>
      <c r="AR27" s="34">
        <f t="shared" si="7"/>
        <v>95.289588160713507</v>
      </c>
      <c r="AS27" s="34"/>
      <c r="AT27" s="34"/>
      <c r="AU27" s="34"/>
      <c r="AV27" s="34"/>
      <c r="AW27" s="34"/>
      <c r="AX27" s="34"/>
      <c r="AY27" s="34"/>
      <c r="AZ27" s="29">
        <f t="shared" si="0"/>
        <v>892625150</v>
      </c>
    </row>
    <row r="28" spans="1:52" ht="20.100000000000001" customHeight="1">
      <c r="A28" s="43"/>
      <c r="B28" s="44"/>
      <c r="C28" s="254" t="s">
        <v>100</v>
      </c>
      <c r="D28" s="254"/>
      <c r="E28" s="255"/>
      <c r="F28" s="32"/>
      <c r="G28" s="32"/>
      <c r="H28" s="256" t="s">
        <v>101</v>
      </c>
      <c r="I28" s="254"/>
      <c r="J28" s="254"/>
      <c r="K28" s="255"/>
      <c r="L28" s="34">
        <v>996800000</v>
      </c>
      <c r="M28" s="34">
        <v>230370000</v>
      </c>
      <c r="N28" s="34"/>
      <c r="O28" s="34"/>
      <c r="P28" s="34"/>
      <c r="Q28" s="34"/>
      <c r="R28" s="34"/>
      <c r="S28" s="34"/>
      <c r="T28" s="34">
        <v>230370000</v>
      </c>
      <c r="U28" s="34"/>
      <c r="V28" s="34"/>
      <c r="W28" s="34"/>
      <c r="X28" s="34"/>
      <c r="Y28" s="34"/>
      <c r="Z28" s="34"/>
      <c r="AA28" s="34">
        <v>230370000</v>
      </c>
      <c r="AB28" s="34">
        <v>914920000</v>
      </c>
      <c r="AC28" s="34">
        <f t="shared" si="8"/>
        <v>-81880000</v>
      </c>
      <c r="AD28" s="34">
        <v>230370000</v>
      </c>
      <c r="AE28" s="34"/>
      <c r="AF28" s="34"/>
      <c r="AG28" s="34">
        <v>627510100</v>
      </c>
      <c r="AH28" s="34"/>
      <c r="AI28" s="34"/>
      <c r="AJ28" s="34"/>
      <c r="AK28" s="34">
        <v>688588450</v>
      </c>
      <c r="AL28" s="34">
        <f t="shared" si="9"/>
        <v>226331550</v>
      </c>
      <c r="AM28" s="34">
        <v>61078350</v>
      </c>
      <c r="AN28" s="34">
        <f>61078350*2</f>
        <v>122156700</v>
      </c>
      <c r="AO28" s="34">
        <f>AB28-AK28-AM28-AN28</f>
        <v>43096500</v>
      </c>
      <c r="AP28" s="34">
        <f t="shared" si="5"/>
        <v>4.7104118392864951</v>
      </c>
      <c r="AQ28" s="34">
        <f t="shared" si="6"/>
        <v>871823500</v>
      </c>
      <c r="AR28" s="34">
        <f t="shared" si="7"/>
        <v>95.289588160713507</v>
      </c>
      <c r="AS28" s="34"/>
      <c r="AT28" s="34"/>
      <c r="AU28" s="34"/>
      <c r="AV28" s="34"/>
      <c r="AW28" s="34"/>
      <c r="AX28" s="34"/>
      <c r="AY28" s="34"/>
      <c r="AZ28" s="29">
        <f t="shared" si="0"/>
        <v>892625150</v>
      </c>
    </row>
    <row r="29" spans="1:52" ht="20.100000000000001" customHeight="1">
      <c r="A29" s="43"/>
      <c r="B29" s="44"/>
      <c r="C29" s="254" t="s">
        <v>102</v>
      </c>
      <c r="D29" s="254"/>
      <c r="E29" s="255"/>
      <c r="F29" s="32"/>
      <c r="G29" s="256" t="s">
        <v>12</v>
      </c>
      <c r="H29" s="254"/>
      <c r="I29" s="254"/>
      <c r="J29" s="254"/>
      <c r="K29" s="255"/>
      <c r="L29" s="34">
        <v>8525000</v>
      </c>
      <c r="M29" s="34">
        <v>1400000</v>
      </c>
      <c r="N29" s="34"/>
      <c r="O29" s="34"/>
      <c r="P29" s="34"/>
      <c r="Q29" s="34"/>
      <c r="R29" s="34"/>
      <c r="S29" s="34"/>
      <c r="T29" s="34">
        <v>1400000</v>
      </c>
      <c r="U29" s="34"/>
      <c r="V29" s="34"/>
      <c r="W29" s="34"/>
      <c r="X29" s="34"/>
      <c r="Y29" s="34"/>
      <c r="Z29" s="34"/>
      <c r="AA29" s="34">
        <v>4325000</v>
      </c>
      <c r="AB29" s="34">
        <v>8525000</v>
      </c>
      <c r="AC29" s="34">
        <f t="shared" si="8"/>
        <v>0</v>
      </c>
      <c r="AD29" s="34">
        <v>4325000</v>
      </c>
      <c r="AE29" s="34"/>
      <c r="AF29" s="34"/>
      <c r="AG29" s="34">
        <v>0</v>
      </c>
      <c r="AH29" s="34"/>
      <c r="AI29" s="34"/>
      <c r="AJ29" s="34"/>
      <c r="AK29" s="34">
        <v>0</v>
      </c>
      <c r="AL29" s="34">
        <f t="shared" si="9"/>
        <v>8525000</v>
      </c>
      <c r="AM29" s="34">
        <v>0</v>
      </c>
      <c r="AN29" s="34">
        <v>0</v>
      </c>
      <c r="AO29" s="34">
        <f t="shared" si="4"/>
        <v>8525000</v>
      </c>
      <c r="AP29" s="34">
        <f t="shared" si="5"/>
        <v>100</v>
      </c>
      <c r="AQ29" s="34">
        <f t="shared" si="6"/>
        <v>0</v>
      </c>
      <c r="AR29" s="34">
        <f t="shared" si="7"/>
        <v>0</v>
      </c>
      <c r="AS29" s="34"/>
      <c r="AT29" s="34"/>
      <c r="AU29" s="34"/>
      <c r="AV29" s="34"/>
      <c r="AW29" s="34"/>
      <c r="AX29" s="34"/>
      <c r="AY29" s="34"/>
      <c r="AZ29" s="29">
        <f t="shared" si="0"/>
        <v>0</v>
      </c>
    </row>
    <row r="30" spans="1:52" ht="20.100000000000001" customHeight="1">
      <c r="A30" s="43"/>
      <c r="B30" s="44"/>
      <c r="C30" s="254" t="s">
        <v>103</v>
      </c>
      <c r="D30" s="254"/>
      <c r="E30" s="255"/>
      <c r="F30" s="32"/>
      <c r="G30" s="32"/>
      <c r="H30" s="256" t="s">
        <v>104</v>
      </c>
      <c r="I30" s="254"/>
      <c r="J30" s="254"/>
      <c r="K30" s="255"/>
      <c r="L30" s="34">
        <v>8525000</v>
      </c>
      <c r="M30" s="34">
        <v>1400000</v>
      </c>
      <c r="N30" s="34"/>
      <c r="O30" s="34"/>
      <c r="P30" s="34"/>
      <c r="Q30" s="34"/>
      <c r="R30" s="34"/>
      <c r="S30" s="34"/>
      <c r="T30" s="34">
        <v>1400000</v>
      </c>
      <c r="U30" s="34"/>
      <c r="V30" s="34"/>
      <c r="W30" s="34"/>
      <c r="X30" s="34"/>
      <c r="Y30" s="34"/>
      <c r="Z30" s="34">
        <f>322575000-Z351</f>
        <v>4809025</v>
      </c>
      <c r="AA30" s="34">
        <v>4325000</v>
      </c>
      <c r="AB30" s="34">
        <v>8525000</v>
      </c>
      <c r="AC30" s="34">
        <f t="shared" si="8"/>
        <v>0</v>
      </c>
      <c r="AD30" s="34">
        <v>4325000</v>
      </c>
      <c r="AE30" s="34"/>
      <c r="AF30" s="34"/>
      <c r="AG30" s="34">
        <v>0</v>
      </c>
      <c r="AH30" s="34"/>
      <c r="AI30" s="34"/>
      <c r="AJ30" s="34"/>
      <c r="AK30" s="34">
        <v>0</v>
      </c>
      <c r="AL30" s="34">
        <f t="shared" si="9"/>
        <v>8525000</v>
      </c>
      <c r="AM30" s="34">
        <v>0</v>
      </c>
      <c r="AN30" s="34">
        <v>0</v>
      </c>
      <c r="AO30" s="34">
        <f t="shared" si="4"/>
        <v>8525000</v>
      </c>
      <c r="AP30" s="34">
        <f t="shared" si="5"/>
        <v>100</v>
      </c>
      <c r="AQ30" s="34">
        <f t="shared" si="6"/>
        <v>0</v>
      </c>
      <c r="AR30" s="34">
        <f t="shared" si="7"/>
        <v>0</v>
      </c>
      <c r="AS30" s="34"/>
      <c r="AT30" s="34"/>
      <c r="AU30" s="34"/>
      <c r="AV30" s="34"/>
      <c r="AW30" s="34"/>
      <c r="AX30" s="34"/>
      <c r="AY30" s="34"/>
      <c r="AZ30" s="29">
        <f t="shared" si="0"/>
        <v>0</v>
      </c>
    </row>
    <row r="31" spans="1:52" ht="20.100000000000001" customHeight="1">
      <c r="A31" s="43"/>
      <c r="B31" s="44"/>
      <c r="C31" s="46"/>
      <c r="D31" s="46"/>
      <c r="E31" s="47"/>
      <c r="F31" s="33"/>
      <c r="G31" s="35"/>
      <c r="H31" s="46"/>
      <c r="I31" s="46"/>
      <c r="J31" s="46"/>
      <c r="K31" s="47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48">
        <f>AG33</f>
        <v>284145622</v>
      </c>
      <c r="AH31" s="48"/>
      <c r="AI31" s="48"/>
      <c r="AJ31" s="48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29">
        <f t="shared" si="0"/>
        <v>0</v>
      </c>
    </row>
    <row r="32" spans="1:52" ht="38.25">
      <c r="A32" s="50" t="s">
        <v>105</v>
      </c>
      <c r="B32" s="51"/>
      <c r="C32" s="257" t="s">
        <v>24</v>
      </c>
      <c r="D32" s="257"/>
      <c r="E32" s="258"/>
      <c r="F32" s="52"/>
      <c r="G32" s="53"/>
      <c r="H32" s="257" t="s">
        <v>22</v>
      </c>
      <c r="I32" s="257"/>
      <c r="J32" s="257"/>
      <c r="K32" s="258"/>
      <c r="L32" s="54" t="s">
        <v>106</v>
      </c>
      <c r="M32" s="54" t="s">
        <v>54</v>
      </c>
      <c r="N32" s="54" t="s">
        <v>107</v>
      </c>
      <c r="O32" s="54" t="s">
        <v>108</v>
      </c>
      <c r="P32" s="54" t="s">
        <v>109</v>
      </c>
      <c r="Q32" s="54" t="s">
        <v>64</v>
      </c>
      <c r="R32" s="54" t="s">
        <v>110</v>
      </c>
      <c r="S32" s="54" t="s">
        <v>111</v>
      </c>
      <c r="T32" s="55" t="s">
        <v>112</v>
      </c>
      <c r="U32" s="56" t="s">
        <v>113</v>
      </c>
      <c r="V32" s="56" t="s">
        <v>114</v>
      </c>
      <c r="W32" s="54" t="s">
        <v>115</v>
      </c>
      <c r="X32" s="54" t="s">
        <v>116</v>
      </c>
      <c r="Y32" s="54" t="s">
        <v>117</v>
      </c>
      <c r="Z32" s="54" t="s">
        <v>118</v>
      </c>
      <c r="AA32" s="57" t="s">
        <v>60</v>
      </c>
      <c r="AB32" s="56" t="s">
        <v>119</v>
      </c>
      <c r="AC32" s="58" t="s">
        <v>120</v>
      </c>
      <c r="AD32" s="55" t="s">
        <v>121</v>
      </c>
      <c r="AE32" s="54" t="s">
        <v>122</v>
      </c>
      <c r="AF32" s="54" t="s">
        <v>123</v>
      </c>
      <c r="AG32" s="56" t="s">
        <v>124</v>
      </c>
      <c r="AH32" s="56" t="s">
        <v>125</v>
      </c>
      <c r="AI32" s="56" t="s">
        <v>126</v>
      </c>
      <c r="AJ32" s="56" t="s">
        <v>127</v>
      </c>
      <c r="AK32" s="56" t="s">
        <v>128</v>
      </c>
      <c r="AL32" s="54" t="s">
        <v>110</v>
      </c>
      <c r="AM32" s="54" t="s">
        <v>129</v>
      </c>
      <c r="AN32" s="54" t="s">
        <v>130</v>
      </c>
      <c r="AO32" s="54" t="s">
        <v>131</v>
      </c>
      <c r="AP32" s="54" t="s">
        <v>118</v>
      </c>
      <c r="AQ32" s="56" t="s">
        <v>57</v>
      </c>
      <c r="AR32" s="54" t="s">
        <v>110</v>
      </c>
      <c r="AS32" s="56" t="s">
        <v>1546</v>
      </c>
      <c r="AT32" s="57" t="s">
        <v>60</v>
      </c>
      <c r="AU32" s="56" t="s">
        <v>132</v>
      </c>
      <c r="AV32" s="56" t="s">
        <v>133</v>
      </c>
      <c r="AW32" s="56" t="s">
        <v>134</v>
      </c>
      <c r="AX32" s="56" t="s">
        <v>135</v>
      </c>
      <c r="AY32" s="56" t="s">
        <v>1547</v>
      </c>
      <c r="AZ32" s="29" t="e">
        <f t="shared" si="0"/>
        <v>#VALUE!</v>
      </c>
    </row>
    <row r="33" spans="1:53" ht="20.100000000000001" customHeight="1">
      <c r="A33" s="40" t="s">
        <v>136</v>
      </c>
      <c r="B33" s="44"/>
      <c r="C33" s="259" t="s">
        <v>137</v>
      </c>
      <c r="D33" s="259"/>
      <c r="E33" s="260"/>
      <c r="F33" s="261"/>
      <c r="G33" s="262"/>
      <c r="H33" s="262"/>
      <c r="I33" s="262"/>
      <c r="J33" s="262"/>
      <c r="K33" s="263"/>
      <c r="L33" s="42">
        <f>L34+L87+L122+L136+L154+L192+L270+L290+L416+L443+L548+L635</f>
        <v>5320434000</v>
      </c>
      <c r="M33" s="42">
        <f>M34+M87+M122+M136+M154+M192+M270+M290+M416+M443+M548+M635</f>
        <v>811748150</v>
      </c>
      <c r="N33" s="42">
        <f>N34+N87+N122+N136+N154+N192+N270+N290+N416+N443+N548+N635</f>
        <v>279597741</v>
      </c>
      <c r="O33" s="42">
        <f>O34+O87+O122+O136+O154+O192+O270+O290+O416+O443+O548+O635</f>
        <v>0</v>
      </c>
      <c r="P33" s="42">
        <f>P34+P87+P122+P136+P154+P192+P270+P290+P416+P443+P548+P635</f>
        <v>0</v>
      </c>
      <c r="Q33" s="42">
        <f>SUM(N33:P33)</f>
        <v>279597741</v>
      </c>
      <c r="R33" s="59">
        <f>Q33/M33*100</f>
        <v>34.443902459155588</v>
      </c>
      <c r="S33" s="42">
        <f>M33-Q33</f>
        <v>532150409</v>
      </c>
      <c r="T33" s="42">
        <f>T34+T87+T122+T136+T154+T192+T270+T290+T416+T443+T548+T635</f>
        <v>1555015250</v>
      </c>
      <c r="U33" s="42">
        <f>T33+M33</f>
        <v>2366763400</v>
      </c>
      <c r="V33" s="42">
        <f>S33+T33</f>
        <v>2087165659</v>
      </c>
      <c r="W33" s="42">
        <f t="shared" ref="W33:AB33" si="10">W34+W87+W122+W136+W154+W192+W270+W290+W416+W443+W548+W635</f>
        <v>314563491</v>
      </c>
      <c r="X33" s="42">
        <f t="shared" si="10"/>
        <v>242114180</v>
      </c>
      <c r="Y33" s="42">
        <f t="shared" si="10"/>
        <v>141408250</v>
      </c>
      <c r="Z33" s="42">
        <f t="shared" si="10"/>
        <v>475953975</v>
      </c>
      <c r="AA33" s="42">
        <f t="shared" si="10"/>
        <v>1821270600</v>
      </c>
      <c r="AB33" s="42">
        <f t="shared" si="10"/>
        <v>5229995000</v>
      </c>
      <c r="AC33" s="42">
        <f>L33-AB33</f>
        <v>90439000</v>
      </c>
      <c r="AD33" s="42">
        <f>M33+T33+AA33</f>
        <v>4188034000</v>
      </c>
      <c r="AE33" s="42">
        <f t="shared" ref="AE33:AK33" si="11">AE34+AE87+AE122+AE136+AE154+AE192+AE270+AE290+AE416+AE443+AE548+AE635</f>
        <v>199628400</v>
      </c>
      <c r="AF33" s="42">
        <f t="shared" si="11"/>
        <v>265923400</v>
      </c>
      <c r="AG33" s="42">
        <f t="shared" si="11"/>
        <v>284145622</v>
      </c>
      <c r="AH33" s="42">
        <f t="shared" si="11"/>
        <v>388838175</v>
      </c>
      <c r="AI33" s="42">
        <f t="shared" si="11"/>
        <v>0</v>
      </c>
      <c r="AJ33" s="42">
        <f t="shared" si="11"/>
        <v>320151262</v>
      </c>
      <c r="AK33" s="42">
        <f t="shared" si="11"/>
        <v>2910950496</v>
      </c>
      <c r="AL33" s="42">
        <f>AK33/AB33*100</f>
        <v>55.658762503597039</v>
      </c>
      <c r="AM33" s="42">
        <f>AM34+AM87+AM122+AM136+AM154+AM192+AM270+AM290+AM416+AM443+AM548+AM635</f>
        <v>757631400</v>
      </c>
      <c r="AN33" s="42">
        <f>AN34+AN87+AN122+AN136+AN154+AN192+AN270+AN290+AN416+AN443+AN548+AN635</f>
        <v>195851725</v>
      </c>
      <c r="AO33" s="42">
        <f>AO34+AO87+AO122+AO136+AO154+AO192+AO270+AO290+AO416+AO443+AO548+AO635</f>
        <v>239689962</v>
      </c>
      <c r="AP33" s="42">
        <f>AP34+AP87+AP122+AP136+AP154+AP192+AP270+AP290+AP416+AP443+AP548+AP635</f>
        <v>336272900</v>
      </c>
      <c r="AQ33" s="42">
        <f>AK33+AM33+AN33+AO33+AP33</f>
        <v>4440396483</v>
      </c>
      <c r="AR33" s="42">
        <f>AQ33/AB33*100</f>
        <v>84.902499581739562</v>
      </c>
      <c r="AS33" s="42">
        <f>AB33-AQ33</f>
        <v>789598517</v>
      </c>
      <c r="AT33" s="42">
        <f>AT34+AT87+AT122+AT136+AT154+AT192+AT270+AT290+AT416+AT443+AT548+AT635</f>
        <v>1449210000</v>
      </c>
      <c r="AU33" s="42">
        <f>AT33+U33</f>
        <v>3815973400</v>
      </c>
      <c r="AV33" s="42">
        <f>AK33</f>
        <v>2910950496</v>
      </c>
      <c r="AW33" s="59">
        <f>AV33/AU33*100</f>
        <v>76.283301555508743</v>
      </c>
      <c r="AX33" s="42">
        <f>AU33-AV33</f>
        <v>905022904</v>
      </c>
      <c r="AY33" s="42">
        <f>AS33/AB33*100</f>
        <v>15.097500418260438</v>
      </c>
      <c r="AZ33" s="29">
        <f t="shared" si="0"/>
        <v>4323112638</v>
      </c>
    </row>
    <row r="34" spans="1:53" ht="20.100000000000001" customHeight="1">
      <c r="A34" s="60" t="s">
        <v>138</v>
      </c>
      <c r="B34" s="44"/>
      <c r="C34" s="247" t="s">
        <v>139</v>
      </c>
      <c r="D34" s="247"/>
      <c r="E34" s="248"/>
      <c r="F34" s="249" t="s">
        <v>140</v>
      </c>
      <c r="G34" s="250"/>
      <c r="H34" s="250"/>
      <c r="I34" s="250"/>
      <c r="J34" s="250"/>
      <c r="K34" s="251"/>
      <c r="L34" s="48">
        <f>L35+L45+L53+L69+L77</f>
        <v>410000000</v>
      </c>
      <c r="M34" s="48">
        <f t="shared" ref="M34:T34" si="12">M35+M45+M53+M69+M77</f>
        <v>107725000</v>
      </c>
      <c r="N34" s="48">
        <f t="shared" si="12"/>
        <v>62203336</v>
      </c>
      <c r="O34" s="48">
        <f t="shared" si="12"/>
        <v>0</v>
      </c>
      <c r="P34" s="48">
        <f t="shared" si="12"/>
        <v>0</v>
      </c>
      <c r="Q34" s="48">
        <f>SUM(N34:P34)</f>
        <v>62203336</v>
      </c>
      <c r="R34" s="61">
        <f t="shared" ref="R34:R97" si="13">Q34/M34*100</f>
        <v>57.742711533998602</v>
      </c>
      <c r="S34" s="48">
        <f>M34-Q34</f>
        <v>45521664</v>
      </c>
      <c r="T34" s="48">
        <f t="shared" si="12"/>
        <v>113114500</v>
      </c>
      <c r="U34" s="48">
        <f>T34+M34</f>
        <v>220839500</v>
      </c>
      <c r="V34" s="48">
        <f>T34+S34</f>
        <v>158636164</v>
      </c>
      <c r="W34" s="48">
        <f t="shared" ref="W34:AG34" si="14">W35+W45+W53+W69+W77</f>
        <v>52002991</v>
      </c>
      <c r="X34" s="48">
        <f t="shared" si="14"/>
        <v>43427980</v>
      </c>
      <c r="Y34" s="48">
        <f t="shared" si="14"/>
        <v>0</v>
      </c>
      <c r="Z34" s="48">
        <f t="shared" si="14"/>
        <v>0</v>
      </c>
      <c r="AA34" s="48">
        <v>120767500</v>
      </c>
      <c r="AB34" s="48">
        <f>AB35+AB45+AB53+AB69+AB77</f>
        <v>403500000</v>
      </c>
      <c r="AC34" s="48">
        <f t="shared" ref="AC34:AC47" si="15">AB34-L34</f>
        <v>-6500000</v>
      </c>
      <c r="AD34" s="48">
        <f>AA34+T34+M34</f>
        <v>341607000</v>
      </c>
      <c r="AE34" s="48">
        <f>AE35+AE45+AE53+AE69+AE77</f>
        <v>9842400</v>
      </c>
      <c r="AF34" s="48">
        <f>AF35+AF45+AF53+AF69+AF77</f>
        <v>0</v>
      </c>
      <c r="AG34" s="48">
        <f t="shared" si="14"/>
        <v>59899897</v>
      </c>
      <c r="AH34" s="48">
        <f>AH35+AH45+AH53+AH69+AH77</f>
        <v>0</v>
      </c>
      <c r="AI34" s="48">
        <f>AI35+AI45+AI53+AI69+AI77</f>
        <v>0</v>
      </c>
      <c r="AJ34" s="48">
        <f>AJ35+AJ45+AJ53+AJ69+AJ77</f>
        <v>41523827</v>
      </c>
      <c r="AK34" s="48">
        <f>AK35+AK45+AK53+AK69+AK77</f>
        <v>268900431</v>
      </c>
      <c r="AL34" s="48">
        <f>AK34/AB34*100</f>
        <v>66.641990334572483</v>
      </c>
      <c r="AM34" s="48">
        <f>AM35+AM45+AM53+AM69+AM77</f>
        <v>0</v>
      </c>
      <c r="AN34" s="48">
        <f>AN35+AN45+AN53+AN69+AN77</f>
        <v>0</v>
      </c>
      <c r="AO34" s="48">
        <f>AO35+AO45+AO53+AO69+AO77</f>
        <v>60439462</v>
      </c>
      <c r="AP34" s="48">
        <f>AP35+AP45+AP53+AP69+AP77</f>
        <v>0</v>
      </c>
      <c r="AQ34" s="48">
        <f>AK34+AM34+AN34+AO34+AP34</f>
        <v>329339893</v>
      </c>
      <c r="AR34" s="48">
        <f>AQ34/AB34*100</f>
        <v>81.620791325898395</v>
      </c>
      <c r="AS34" s="48">
        <f>AB34-AQ34</f>
        <v>74160107</v>
      </c>
      <c r="AT34" s="48">
        <v>120767500</v>
      </c>
      <c r="AU34" s="48">
        <f>AT34+U34</f>
        <v>341607000</v>
      </c>
      <c r="AV34" s="48">
        <f>AK34</f>
        <v>268900431</v>
      </c>
      <c r="AW34" s="61">
        <f>AV34/AU34*100</f>
        <v>78.716311726633236</v>
      </c>
      <c r="AX34" s="48">
        <f>AU34-AV34</f>
        <v>72706569</v>
      </c>
      <c r="AY34" s="48">
        <f>AS34/AB34*100</f>
        <v>18.379208674101612</v>
      </c>
      <c r="AZ34" s="29">
        <f t="shared" si="0"/>
        <v>349560538</v>
      </c>
    </row>
    <row r="35" spans="1:53" ht="20.100000000000001" customHeight="1">
      <c r="A35" s="62">
        <v>1</v>
      </c>
      <c r="B35" s="63"/>
      <c r="C35" s="242" t="s">
        <v>141</v>
      </c>
      <c r="D35" s="242"/>
      <c r="E35" s="243"/>
      <c r="F35" s="64"/>
      <c r="G35" s="244" t="s">
        <v>0</v>
      </c>
      <c r="H35" s="244"/>
      <c r="I35" s="244"/>
      <c r="J35" s="244"/>
      <c r="K35" s="245"/>
      <c r="L35" s="65">
        <f>SUM(L38:L44)</f>
        <v>40000000</v>
      </c>
      <c r="M35" s="65">
        <f>SUM(M38:M44)</f>
        <v>20558000</v>
      </c>
      <c r="N35" s="65">
        <f>SUM(N38:N44)</f>
        <v>7140925</v>
      </c>
      <c r="O35" s="65">
        <f>SUM(O38:O44)</f>
        <v>0</v>
      </c>
      <c r="P35" s="65">
        <f>SUM(P38:P44)</f>
        <v>0</v>
      </c>
      <c r="Q35" s="65">
        <f>SUM(N35:P35)</f>
        <v>7140925</v>
      </c>
      <c r="R35" s="66">
        <f t="shared" si="13"/>
        <v>34.735504426500633</v>
      </c>
      <c r="S35" s="65">
        <f>M35-Q35</f>
        <v>13417075</v>
      </c>
      <c r="T35" s="65">
        <f>SUM(T38:T44)</f>
        <v>10011500</v>
      </c>
      <c r="U35" s="65">
        <f>T35+M35</f>
        <v>30569500</v>
      </c>
      <c r="V35" s="65">
        <f>T35+S35</f>
        <v>23428575</v>
      </c>
      <c r="W35" s="65">
        <f>SUM(W38:W44)</f>
        <v>15889125</v>
      </c>
      <c r="X35" s="65">
        <f>SUM(X38:X44)</f>
        <v>0</v>
      </c>
      <c r="Y35" s="65">
        <f>SUM(Y38:Y44)</f>
        <v>0</v>
      </c>
      <c r="Z35" s="65"/>
      <c r="AA35" s="65">
        <f>SUM(AA38:AA44)</f>
        <v>5761500</v>
      </c>
      <c r="AB35" s="65">
        <f>SUM(AB38:AB44)</f>
        <v>40000000</v>
      </c>
      <c r="AC35" s="65">
        <f t="shared" si="15"/>
        <v>0</v>
      </c>
      <c r="AD35" s="65">
        <f>AA35+T35+M35</f>
        <v>36331000</v>
      </c>
      <c r="AE35" s="65">
        <f t="shared" ref="AE35:AK35" si="16">SUM(AE38:AE44)</f>
        <v>1150000</v>
      </c>
      <c r="AF35" s="65">
        <f t="shared" si="16"/>
        <v>0</v>
      </c>
      <c r="AG35" s="65">
        <f t="shared" si="16"/>
        <v>6085600</v>
      </c>
      <c r="AH35" s="65">
        <f t="shared" si="16"/>
        <v>0</v>
      </c>
      <c r="AI35" s="65">
        <f t="shared" si="16"/>
        <v>0</v>
      </c>
      <c r="AJ35" s="65">
        <f t="shared" si="16"/>
        <v>5614725</v>
      </c>
      <c r="AK35" s="65">
        <f t="shared" si="16"/>
        <v>35880375</v>
      </c>
      <c r="AL35" s="65">
        <f>AK35/AB35*100</f>
        <v>89.700937499999995</v>
      </c>
      <c r="AM35" s="65">
        <f>SUM(AM38:AM44)</f>
        <v>0</v>
      </c>
      <c r="AN35" s="65">
        <f>SUM(AN38:AN44)</f>
        <v>0</v>
      </c>
      <c r="AO35" s="42">
        <f>SUM(AO38:AO44)</f>
        <v>4099175</v>
      </c>
      <c r="AP35" s="65">
        <f>SUM(AP38:AP44)</f>
        <v>0</v>
      </c>
      <c r="AQ35" s="65">
        <f>AK35+AM35+AN35+AO35+AP35</f>
        <v>39979550</v>
      </c>
      <c r="AR35" s="65">
        <f>AQ35/AB35*100</f>
        <v>99.948875000000001</v>
      </c>
      <c r="AS35" s="65">
        <f>AB35-AQ35</f>
        <v>20450</v>
      </c>
      <c r="AT35" s="65">
        <f>SUM(AT38:AT44)</f>
        <v>15457500</v>
      </c>
      <c r="AU35" s="65">
        <f>AT35+U35</f>
        <v>46027000</v>
      </c>
      <c r="AV35" s="65">
        <f>AK35</f>
        <v>35880375</v>
      </c>
      <c r="AW35" s="66">
        <f>AV35/AU35*100</f>
        <v>77.95505898711626</v>
      </c>
      <c r="AX35" s="65">
        <f>AU35-AV35</f>
        <v>10146625</v>
      </c>
      <c r="AY35" s="65">
        <f>AS35/AB35*100</f>
        <v>5.1124999999999997E-2</v>
      </c>
      <c r="AZ35" s="67">
        <f>AQ35-AO35</f>
        <v>35880375</v>
      </c>
      <c r="BA35" s="29">
        <f>AS35</f>
        <v>20450</v>
      </c>
    </row>
    <row r="36" spans="1:53" ht="20.100000000000001" customHeight="1">
      <c r="A36" s="68"/>
      <c r="B36" s="69"/>
      <c r="C36" s="240" t="s">
        <v>142</v>
      </c>
      <c r="D36" s="240"/>
      <c r="E36" s="241"/>
      <c r="F36" s="70"/>
      <c r="G36" s="71"/>
      <c r="H36" s="240" t="s">
        <v>143</v>
      </c>
      <c r="I36" s="240"/>
      <c r="J36" s="240"/>
      <c r="K36" s="241"/>
      <c r="L36" s="49"/>
      <c r="M36" s="49"/>
      <c r="N36" s="49"/>
      <c r="O36" s="49"/>
      <c r="P36" s="49"/>
      <c r="Q36" s="49"/>
      <c r="R36" s="72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>
        <f t="shared" si="15"/>
        <v>0</v>
      </c>
      <c r="AD36" s="49"/>
      <c r="AE36" s="49"/>
      <c r="AF36" s="49"/>
      <c r="AG36" s="49"/>
      <c r="AH36" s="49"/>
      <c r="AI36" s="49"/>
      <c r="AJ36" s="49"/>
      <c r="AK36" s="49"/>
      <c r="AL36" s="49"/>
      <c r="AM36" s="49"/>
      <c r="AN36" s="49"/>
      <c r="AO36" s="49"/>
      <c r="AP36" s="49"/>
      <c r="AQ36" s="49">
        <f>AQ35-AO35</f>
        <v>35880375</v>
      </c>
      <c r="AR36" s="49"/>
      <c r="AS36" s="49"/>
      <c r="AT36" s="49"/>
      <c r="AU36" s="49"/>
      <c r="AV36" s="49"/>
      <c r="AW36" s="49"/>
      <c r="AX36" s="49"/>
      <c r="AY36" s="49"/>
      <c r="AZ36" s="73">
        <f t="shared" ref="AZ36:AZ99" si="17">AQ36-AO36</f>
        <v>35880375</v>
      </c>
    </row>
    <row r="37" spans="1:53" ht="20.100000000000001" customHeight="1">
      <c r="A37" s="68"/>
      <c r="B37" s="69"/>
      <c r="C37" s="240" t="s">
        <v>144</v>
      </c>
      <c r="D37" s="240"/>
      <c r="E37" s="241"/>
      <c r="F37" s="70"/>
      <c r="G37" s="71"/>
      <c r="H37" s="71"/>
      <c r="I37" s="240" t="s">
        <v>145</v>
      </c>
      <c r="J37" s="240"/>
      <c r="K37" s="241"/>
      <c r="L37" s="49"/>
      <c r="M37" s="49"/>
      <c r="N37" s="49"/>
      <c r="O37" s="49"/>
      <c r="P37" s="49"/>
      <c r="Q37" s="49"/>
      <c r="R37" s="72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>
        <f t="shared" si="15"/>
        <v>0</v>
      </c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73">
        <f t="shared" si="17"/>
        <v>0</v>
      </c>
    </row>
    <row r="38" spans="1:53" ht="20.100000000000001" customHeight="1">
      <c r="A38" s="68"/>
      <c r="B38" s="69"/>
      <c r="C38" s="240" t="s">
        <v>146</v>
      </c>
      <c r="D38" s="240"/>
      <c r="E38" s="241"/>
      <c r="F38" s="70"/>
      <c r="G38" s="71"/>
      <c r="H38" s="71"/>
      <c r="I38" s="71"/>
      <c r="J38" s="240" t="s">
        <v>147</v>
      </c>
      <c r="K38" s="241"/>
      <c r="L38" s="49">
        <v>16366000</v>
      </c>
      <c r="M38" s="49">
        <v>6183000</v>
      </c>
      <c r="N38" s="49">
        <v>4091500</v>
      </c>
      <c r="O38" s="49"/>
      <c r="P38" s="49"/>
      <c r="Q38" s="49">
        <f>SUM(N38:P38)</f>
        <v>4091500</v>
      </c>
      <c r="R38" s="72">
        <f t="shared" si="13"/>
        <v>66.173378618793464</v>
      </c>
      <c r="S38" s="49">
        <f>M38-Q38</f>
        <v>2091500</v>
      </c>
      <c r="T38" s="49">
        <v>7091500</v>
      </c>
      <c r="U38" s="49">
        <f>T38+M38</f>
        <v>13274500</v>
      </c>
      <c r="V38" s="49">
        <f>T38+S38</f>
        <v>9183000</v>
      </c>
      <c r="W38" s="49">
        <v>4906700</v>
      </c>
      <c r="X38" s="49"/>
      <c r="Y38" s="49"/>
      <c r="Z38" s="49"/>
      <c r="AA38" s="49">
        <v>3091500</v>
      </c>
      <c r="AB38" s="49">
        <v>16366000</v>
      </c>
      <c r="AC38" s="49">
        <f t="shared" si="15"/>
        <v>0</v>
      </c>
      <c r="AD38" s="49">
        <f>AA38+T38+M38</f>
        <v>16366000</v>
      </c>
      <c r="AE38" s="49"/>
      <c r="AF38" s="49"/>
      <c r="AG38" s="49">
        <v>4246600</v>
      </c>
      <c r="AH38" s="49"/>
      <c r="AI38" s="49"/>
      <c r="AJ38" s="49">
        <v>3120800</v>
      </c>
      <c r="AK38" s="49">
        <f>Z38+Y38+X38+W38+N38+AG38+AJ38+AI38+AH38</f>
        <v>16365600</v>
      </c>
      <c r="AL38" s="49"/>
      <c r="AM38" s="49"/>
      <c r="AN38" s="49"/>
      <c r="AO38" s="49"/>
      <c r="AP38" s="49"/>
      <c r="AQ38" s="49">
        <f>AK38+AM38+AN38+AO38+AP38</f>
        <v>16365600</v>
      </c>
      <c r="AR38" s="49">
        <f>AQ38/AB38*100</f>
        <v>99.997555908590982</v>
      </c>
      <c r="AS38" s="49">
        <f>AB38-AQ38</f>
        <v>400</v>
      </c>
      <c r="AT38" s="49">
        <v>3091500</v>
      </c>
      <c r="AU38" s="49">
        <f>AT38+U38</f>
        <v>16366000</v>
      </c>
      <c r="AV38" s="49">
        <f>AK38</f>
        <v>16365600</v>
      </c>
      <c r="AW38" s="72">
        <f>AV38/AU38*100</f>
        <v>99.997555908590982</v>
      </c>
      <c r="AX38" s="49">
        <f>AU38-AV38</f>
        <v>400</v>
      </c>
      <c r="AY38" s="49">
        <f>AS38/AB38*100</f>
        <v>2.4440914090186972E-3</v>
      </c>
      <c r="AZ38" s="73">
        <f t="shared" si="17"/>
        <v>16365600</v>
      </c>
    </row>
    <row r="39" spans="1:53" ht="20.100000000000001" customHeight="1">
      <c r="A39" s="68"/>
      <c r="B39" s="69"/>
      <c r="C39" s="240" t="s">
        <v>148</v>
      </c>
      <c r="D39" s="240"/>
      <c r="E39" s="241"/>
      <c r="F39" s="70"/>
      <c r="G39" s="71"/>
      <c r="H39" s="71"/>
      <c r="I39" s="71"/>
      <c r="J39" s="240" t="s">
        <v>149</v>
      </c>
      <c r="K39" s="241"/>
      <c r="L39" s="49">
        <v>840000</v>
      </c>
      <c r="M39" s="49">
        <v>840000</v>
      </c>
      <c r="N39" s="49">
        <f>330000+99500</f>
        <v>429500</v>
      </c>
      <c r="O39" s="49"/>
      <c r="P39" s="49"/>
      <c r="Q39" s="49">
        <f>SUM(N39:P39)</f>
        <v>429500</v>
      </c>
      <c r="R39" s="72">
        <f t="shared" si="13"/>
        <v>51.13095238095238</v>
      </c>
      <c r="S39" s="49">
        <f>M39-Q39</f>
        <v>410500</v>
      </c>
      <c r="T39" s="49">
        <v>0</v>
      </c>
      <c r="U39" s="49">
        <f>T39+M39</f>
        <v>840000</v>
      </c>
      <c r="V39" s="49">
        <f>T39+S39</f>
        <v>410500</v>
      </c>
      <c r="W39" s="49">
        <v>117500</v>
      </c>
      <c r="X39" s="49"/>
      <c r="Y39" s="49"/>
      <c r="Z39" s="49"/>
      <c r="AA39" s="49">
        <v>0</v>
      </c>
      <c r="AB39" s="49">
        <v>840000</v>
      </c>
      <c r="AC39" s="49">
        <f t="shared" si="15"/>
        <v>0</v>
      </c>
      <c r="AD39" s="49">
        <f>AA39+T39+M39</f>
        <v>840000</v>
      </c>
      <c r="AE39" s="49"/>
      <c r="AF39" s="49"/>
      <c r="AG39" s="49">
        <v>89000</v>
      </c>
      <c r="AH39" s="49"/>
      <c r="AI39" s="49"/>
      <c r="AJ39" s="49">
        <v>204000</v>
      </c>
      <c r="AK39" s="49">
        <f>Z39+Y39+X39+W39+N39+AG39+AJ39+AI39+AH39</f>
        <v>840000</v>
      </c>
      <c r="AL39" s="49">
        <f>AK39/AD39*100</f>
        <v>100</v>
      </c>
      <c r="AM39" s="49"/>
      <c r="AN39" s="49"/>
      <c r="AO39" s="49"/>
      <c r="AP39" s="49"/>
      <c r="AQ39" s="49">
        <f>AK39+AM39+AN39+AO39+AP39</f>
        <v>840000</v>
      </c>
      <c r="AR39" s="49">
        <f>AQ39/AB39*100</f>
        <v>100</v>
      </c>
      <c r="AS39" s="49">
        <f>AB39-AQ39</f>
        <v>0</v>
      </c>
      <c r="AT39" s="49">
        <v>3091500</v>
      </c>
      <c r="AU39" s="49">
        <f>AT39+U39</f>
        <v>3931500</v>
      </c>
      <c r="AV39" s="49">
        <f>AK39</f>
        <v>840000</v>
      </c>
      <c r="AW39" s="72">
        <f>AV39/AU39*100</f>
        <v>21.365890881342999</v>
      </c>
      <c r="AX39" s="49">
        <f>AU39-AV39</f>
        <v>3091500</v>
      </c>
      <c r="AY39" s="49">
        <f>AS39/AB39*100</f>
        <v>0</v>
      </c>
      <c r="AZ39" s="73">
        <f t="shared" si="17"/>
        <v>840000</v>
      </c>
    </row>
    <row r="40" spans="1:53" ht="20.100000000000001" customHeight="1">
      <c r="A40" s="68"/>
      <c r="B40" s="69"/>
      <c r="C40" s="240" t="s">
        <v>150</v>
      </c>
      <c r="D40" s="240"/>
      <c r="E40" s="241"/>
      <c r="F40" s="70"/>
      <c r="G40" s="71"/>
      <c r="H40" s="71"/>
      <c r="I40" s="240" t="s">
        <v>151</v>
      </c>
      <c r="J40" s="240"/>
      <c r="K40" s="241"/>
      <c r="L40" s="49"/>
      <c r="M40" s="49"/>
      <c r="N40" s="49"/>
      <c r="O40" s="49"/>
      <c r="P40" s="49"/>
      <c r="Q40" s="49"/>
      <c r="R40" s="72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>
        <f t="shared" si="15"/>
        <v>0</v>
      </c>
      <c r="AD40" s="49"/>
      <c r="AE40" s="49"/>
      <c r="AF40" s="49"/>
      <c r="AG40" s="49"/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49"/>
      <c r="AX40" s="49"/>
      <c r="AY40" s="49"/>
      <c r="AZ40" s="73">
        <f t="shared" si="17"/>
        <v>0</v>
      </c>
    </row>
    <row r="41" spans="1:53" ht="20.100000000000001" customHeight="1">
      <c r="A41" s="68"/>
      <c r="B41" s="69"/>
      <c r="C41" s="240" t="s">
        <v>152</v>
      </c>
      <c r="D41" s="240"/>
      <c r="E41" s="241"/>
      <c r="F41" s="70"/>
      <c r="G41" s="71"/>
      <c r="H41" s="71"/>
      <c r="I41" s="71"/>
      <c r="J41" s="240" t="s">
        <v>153</v>
      </c>
      <c r="K41" s="241"/>
      <c r="L41" s="49">
        <v>9365000</v>
      </c>
      <c r="M41" s="49">
        <v>9365000</v>
      </c>
      <c r="N41" s="49"/>
      <c r="O41" s="49"/>
      <c r="P41" s="49"/>
      <c r="Q41" s="49">
        <f>SUM(N41:P41)</f>
        <v>0</v>
      </c>
      <c r="R41" s="72">
        <f t="shared" si="13"/>
        <v>0</v>
      </c>
      <c r="S41" s="49">
        <f>M41-Q41</f>
        <v>9365000</v>
      </c>
      <c r="T41" s="49">
        <v>0</v>
      </c>
      <c r="U41" s="49">
        <f>T41+M41</f>
        <v>9365000</v>
      </c>
      <c r="V41" s="49">
        <f>T41+S41</f>
        <v>9365000</v>
      </c>
      <c r="W41" s="49">
        <v>9365000</v>
      </c>
      <c r="X41" s="49"/>
      <c r="Y41" s="49"/>
      <c r="Z41" s="49"/>
      <c r="AA41" s="49">
        <v>0</v>
      </c>
      <c r="AB41" s="49">
        <v>9365000</v>
      </c>
      <c r="AC41" s="49">
        <f t="shared" si="15"/>
        <v>0</v>
      </c>
      <c r="AD41" s="49">
        <f>AA41+T41+M41</f>
        <v>9365000</v>
      </c>
      <c r="AE41" s="49"/>
      <c r="AF41" s="49"/>
      <c r="AG41" s="49">
        <v>0</v>
      </c>
      <c r="AH41" s="49"/>
      <c r="AI41" s="49"/>
      <c r="AJ41" s="49"/>
      <c r="AK41" s="49">
        <f>Z41+Y41+X41+W41+N41+AG41+AJ41+AI41+AH41</f>
        <v>9365000</v>
      </c>
      <c r="AL41" s="49">
        <f>AK41/AD41*100</f>
        <v>100</v>
      </c>
      <c r="AM41" s="49"/>
      <c r="AN41" s="49"/>
      <c r="AO41" s="49"/>
      <c r="AP41" s="49"/>
      <c r="AQ41" s="49">
        <f>AK41+AM41+AN41+AO41+AP41</f>
        <v>9365000</v>
      </c>
      <c r="AR41" s="49">
        <f>AQ41/AB41*100</f>
        <v>100</v>
      </c>
      <c r="AS41" s="49">
        <f>AB41-AQ41</f>
        <v>0</v>
      </c>
      <c r="AT41" s="49">
        <v>3091500</v>
      </c>
      <c r="AU41" s="49">
        <f>AT41+U41</f>
        <v>12456500</v>
      </c>
      <c r="AV41" s="49">
        <f>AK41</f>
        <v>9365000</v>
      </c>
      <c r="AW41" s="72">
        <f>AV41/AU41*100</f>
        <v>75.18163207963714</v>
      </c>
      <c r="AX41" s="49">
        <f>AU41-AV41</f>
        <v>3091500</v>
      </c>
      <c r="AY41" s="49">
        <f>AS41/AB41*100</f>
        <v>0</v>
      </c>
      <c r="AZ41" s="73">
        <f t="shared" si="17"/>
        <v>9365000</v>
      </c>
    </row>
    <row r="42" spans="1:53" ht="20.100000000000001" customHeight="1">
      <c r="A42" s="68"/>
      <c r="B42" s="69"/>
      <c r="C42" s="240" t="s">
        <v>154</v>
      </c>
      <c r="D42" s="240"/>
      <c r="E42" s="241"/>
      <c r="F42" s="70"/>
      <c r="G42" s="71"/>
      <c r="H42" s="71"/>
      <c r="I42" s="71"/>
      <c r="J42" s="240" t="s">
        <v>155</v>
      </c>
      <c r="K42" s="241"/>
      <c r="L42" s="49">
        <v>8749000</v>
      </c>
      <c r="M42" s="49">
        <v>3000000</v>
      </c>
      <c r="N42" s="49">
        <v>1499925</v>
      </c>
      <c r="O42" s="49"/>
      <c r="P42" s="49"/>
      <c r="Q42" s="49">
        <f>SUM(N42:P42)</f>
        <v>1499925</v>
      </c>
      <c r="R42" s="72">
        <f t="shared" si="13"/>
        <v>49.997500000000002</v>
      </c>
      <c r="S42" s="49">
        <f>M42-Q42</f>
        <v>1500075</v>
      </c>
      <c r="T42" s="49">
        <v>1750000</v>
      </c>
      <c r="U42" s="49">
        <f>T42+M42</f>
        <v>4750000</v>
      </c>
      <c r="V42" s="49">
        <f>T42+S42</f>
        <v>3250075</v>
      </c>
      <c r="W42" s="49">
        <v>1499925</v>
      </c>
      <c r="X42" s="49"/>
      <c r="Y42" s="49"/>
      <c r="Z42" s="49"/>
      <c r="AA42" s="49">
        <v>1500000</v>
      </c>
      <c r="AB42" s="49">
        <v>8749000</v>
      </c>
      <c r="AC42" s="49">
        <f t="shared" si="15"/>
        <v>0</v>
      </c>
      <c r="AD42" s="49">
        <f>AA42+T42+M42</f>
        <v>6250000</v>
      </c>
      <c r="AE42" s="49"/>
      <c r="AF42" s="49"/>
      <c r="AG42" s="49">
        <v>1750000</v>
      </c>
      <c r="AH42" s="49"/>
      <c r="AI42" s="49"/>
      <c r="AJ42" s="49">
        <v>1499925</v>
      </c>
      <c r="AK42" s="49">
        <f>Z42+Y42+X42+W42+N42+AG42+AJ42+AI42+AH42</f>
        <v>6249775</v>
      </c>
      <c r="AL42" s="49">
        <f>AK42/AD42*100</f>
        <v>99.996399999999994</v>
      </c>
      <c r="AM42" s="49"/>
      <c r="AN42" s="49"/>
      <c r="AO42" s="42">
        <f>1499225+999950</f>
        <v>2499175</v>
      </c>
      <c r="AP42" s="49"/>
      <c r="AQ42" s="49">
        <f>AK42+AM42+AN42+AO42+AP42</f>
        <v>8748950</v>
      </c>
      <c r="AR42" s="49">
        <f>AQ42/AB42*100</f>
        <v>99.999428506114981</v>
      </c>
      <c r="AS42" s="49">
        <f>AB42-AQ42</f>
        <v>50</v>
      </c>
      <c r="AT42" s="49">
        <v>3091500</v>
      </c>
      <c r="AU42" s="49">
        <f>AT42+U42</f>
        <v>7841500</v>
      </c>
      <c r="AV42" s="49">
        <f>AK42</f>
        <v>6249775</v>
      </c>
      <c r="AW42" s="72">
        <f>AV42/AU42*100</f>
        <v>79.701268889880765</v>
      </c>
      <c r="AX42" s="49">
        <f>AU42-AV42</f>
        <v>1591725</v>
      </c>
      <c r="AY42" s="49">
        <f>AS42/AB42*100</f>
        <v>5.7149388501543036E-4</v>
      </c>
      <c r="AZ42" s="73">
        <f t="shared" si="17"/>
        <v>6249775</v>
      </c>
    </row>
    <row r="43" spans="1:53" ht="20.100000000000001" customHeight="1">
      <c r="A43" s="68"/>
      <c r="B43" s="69"/>
      <c r="C43" s="240" t="s">
        <v>156</v>
      </c>
      <c r="D43" s="240"/>
      <c r="E43" s="241"/>
      <c r="F43" s="70"/>
      <c r="G43" s="71"/>
      <c r="H43" s="71"/>
      <c r="I43" s="240" t="s">
        <v>157</v>
      </c>
      <c r="J43" s="240"/>
      <c r="K43" s="241"/>
      <c r="L43" s="49"/>
      <c r="M43" s="49"/>
      <c r="N43" s="49"/>
      <c r="O43" s="49"/>
      <c r="P43" s="49"/>
      <c r="Q43" s="49"/>
      <c r="R43" s="72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>
        <f t="shared" si="15"/>
        <v>0</v>
      </c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>
        <f>AK43+AL43+AM43+AN43+AO43+AP43</f>
        <v>0</v>
      </c>
      <c r="AR43" s="49"/>
      <c r="AS43" s="49"/>
      <c r="AT43" s="49"/>
      <c r="AU43" s="49"/>
      <c r="AV43" s="49"/>
      <c r="AW43" s="49"/>
      <c r="AX43" s="49"/>
      <c r="AY43" s="49"/>
      <c r="AZ43" s="73">
        <f t="shared" si="17"/>
        <v>0</v>
      </c>
    </row>
    <row r="44" spans="1:53" ht="20.100000000000001" customHeight="1">
      <c r="A44" s="68"/>
      <c r="B44" s="69"/>
      <c r="C44" s="240" t="s">
        <v>158</v>
      </c>
      <c r="D44" s="240"/>
      <c r="E44" s="241"/>
      <c r="F44" s="70"/>
      <c r="G44" s="71"/>
      <c r="H44" s="71"/>
      <c r="I44" s="71"/>
      <c r="J44" s="240" t="s">
        <v>159</v>
      </c>
      <c r="K44" s="241"/>
      <c r="L44" s="49">
        <v>4680000</v>
      </c>
      <c r="M44" s="49">
        <v>1170000</v>
      </c>
      <c r="N44" s="49">
        <v>1120000</v>
      </c>
      <c r="O44" s="49"/>
      <c r="P44" s="49"/>
      <c r="Q44" s="49">
        <f>SUM(N44:P44)</f>
        <v>1120000</v>
      </c>
      <c r="R44" s="72">
        <f t="shared" si="13"/>
        <v>95.726495726495727</v>
      </c>
      <c r="S44" s="49">
        <f>M44-Q44</f>
        <v>50000</v>
      </c>
      <c r="T44" s="49">
        <v>1170000</v>
      </c>
      <c r="U44" s="49">
        <f>T44+M44</f>
        <v>2340000</v>
      </c>
      <c r="V44" s="49">
        <f>T44+S44</f>
        <v>1220000</v>
      </c>
      <c r="W44" s="49"/>
      <c r="X44" s="49"/>
      <c r="Y44" s="49"/>
      <c r="Z44" s="49"/>
      <c r="AA44" s="49">
        <v>1170000</v>
      </c>
      <c r="AB44" s="49">
        <v>4680000</v>
      </c>
      <c r="AC44" s="49">
        <f t="shared" si="15"/>
        <v>0</v>
      </c>
      <c r="AD44" s="49">
        <f>AA44+T44+M44</f>
        <v>3510000</v>
      </c>
      <c r="AE44" s="49">
        <v>1150000</v>
      </c>
      <c r="AF44" s="49">
        <v>0</v>
      </c>
      <c r="AG44" s="49">
        <v>0</v>
      </c>
      <c r="AH44" s="49"/>
      <c r="AI44" s="49"/>
      <c r="AJ44" s="49">
        <v>790000</v>
      </c>
      <c r="AK44" s="49">
        <f>Z44+Y44+X44+W44+N44+AG44+AJ44+AI44+AH44+1150000</f>
        <v>3060000</v>
      </c>
      <c r="AL44" s="49">
        <f>AK44/AD44*100</f>
        <v>87.179487179487182</v>
      </c>
      <c r="AM44" s="49"/>
      <c r="AN44" s="49"/>
      <c r="AO44" s="42">
        <v>1600000</v>
      </c>
      <c r="AP44" s="49"/>
      <c r="AQ44" s="49">
        <f>AK44+AM44+AN44+AO44+AP44</f>
        <v>4660000</v>
      </c>
      <c r="AR44" s="49">
        <f>AQ44/AB44*100</f>
        <v>99.572649572649567</v>
      </c>
      <c r="AS44" s="49">
        <f t="shared" ref="AS44:AS53" si="18">AB44-AQ44</f>
        <v>20000</v>
      </c>
      <c r="AT44" s="49">
        <v>3091500</v>
      </c>
      <c r="AU44" s="49">
        <f>AT44+U44</f>
        <v>5431500</v>
      </c>
      <c r="AV44" s="49">
        <f>AK44</f>
        <v>3060000</v>
      </c>
      <c r="AW44" s="72">
        <f>AV44/AU44*100</f>
        <v>56.338028169014088</v>
      </c>
      <c r="AX44" s="49">
        <f>AU44-AV44</f>
        <v>2371500</v>
      </c>
      <c r="AY44" s="49">
        <f>AS44/AB44*100</f>
        <v>0.42735042735042739</v>
      </c>
      <c r="AZ44" s="73">
        <f t="shared" si="17"/>
        <v>3060000</v>
      </c>
    </row>
    <row r="45" spans="1:53" ht="20.100000000000001" customHeight="1">
      <c r="A45" s="62">
        <v>2</v>
      </c>
      <c r="B45" s="63"/>
      <c r="C45" s="242" t="s">
        <v>160</v>
      </c>
      <c r="D45" s="242"/>
      <c r="E45" s="243"/>
      <c r="F45" s="64"/>
      <c r="G45" s="244" t="s">
        <v>1</v>
      </c>
      <c r="H45" s="244"/>
      <c r="I45" s="244"/>
      <c r="J45" s="244"/>
      <c r="K45" s="245"/>
      <c r="L45" s="65">
        <f>SUM(L48:L52)</f>
        <v>110000000</v>
      </c>
      <c r="M45" s="65">
        <f t="shared" ref="M45:T45" si="19">SUM(M48:M52)</f>
        <v>27501000</v>
      </c>
      <c r="N45" s="65">
        <f t="shared" si="19"/>
        <v>13012446</v>
      </c>
      <c r="O45" s="65">
        <f t="shared" si="19"/>
        <v>0</v>
      </c>
      <c r="P45" s="65">
        <f t="shared" si="19"/>
        <v>0</v>
      </c>
      <c r="Q45" s="65">
        <f>SUM(N45:P45)</f>
        <v>13012446</v>
      </c>
      <c r="R45" s="66">
        <f t="shared" si="13"/>
        <v>47.316264863095888</v>
      </c>
      <c r="S45" s="65">
        <f>M45-Q45</f>
        <v>14488554</v>
      </c>
      <c r="T45" s="65">
        <f t="shared" si="19"/>
        <v>27501000</v>
      </c>
      <c r="U45" s="65">
        <f>T45+M45</f>
        <v>55002000</v>
      </c>
      <c r="V45" s="65">
        <f>T45+S45</f>
        <v>41989554</v>
      </c>
      <c r="W45" s="65">
        <f>SUM(W48:W52)</f>
        <v>20696341</v>
      </c>
      <c r="X45" s="65">
        <f>SUM(X48:X52)</f>
        <v>0</v>
      </c>
      <c r="Y45" s="65">
        <f>SUM(Y48:Y52)</f>
        <v>0</v>
      </c>
      <c r="Z45" s="65"/>
      <c r="AA45" s="65">
        <v>27501000</v>
      </c>
      <c r="AB45" s="65">
        <f>SUM(AB48:AB52)</f>
        <v>97500000</v>
      </c>
      <c r="AC45" s="65">
        <f t="shared" si="15"/>
        <v>-12500000</v>
      </c>
      <c r="AD45" s="65">
        <f>AA45+T45+M45</f>
        <v>82503000</v>
      </c>
      <c r="AE45" s="65">
        <f t="shared" ref="AE45:AK45" si="20">SUM(AE48:AE52)</f>
        <v>0</v>
      </c>
      <c r="AF45" s="65">
        <f t="shared" si="20"/>
        <v>0</v>
      </c>
      <c r="AG45" s="65">
        <f t="shared" si="20"/>
        <v>20569647</v>
      </c>
      <c r="AH45" s="65">
        <f t="shared" si="20"/>
        <v>0</v>
      </c>
      <c r="AI45" s="65">
        <f t="shared" si="20"/>
        <v>0</v>
      </c>
      <c r="AJ45" s="65">
        <f t="shared" si="20"/>
        <v>6353822</v>
      </c>
      <c r="AK45" s="65">
        <f t="shared" si="20"/>
        <v>60632256</v>
      </c>
      <c r="AL45" s="65">
        <f>AK45/AB45*100</f>
        <v>62.186929230769231</v>
      </c>
      <c r="AM45" s="65">
        <f>SUM(AM48:AM52)</f>
        <v>0</v>
      </c>
      <c r="AN45" s="65">
        <f>SUM(AN48:AN52)</f>
        <v>0</v>
      </c>
      <c r="AO45" s="42">
        <f>SUM(AO48:AO52)</f>
        <v>14513137</v>
      </c>
      <c r="AP45" s="65">
        <f>SUM(AP48:AP52)</f>
        <v>0</v>
      </c>
      <c r="AQ45" s="65">
        <f>AK45+AM45+AN45+AO45+AP45</f>
        <v>75145393</v>
      </c>
      <c r="AR45" s="65">
        <f>AQ45/AB45*100</f>
        <v>77.072197948717942</v>
      </c>
      <c r="AS45" s="65">
        <f t="shared" si="18"/>
        <v>22354607</v>
      </c>
      <c r="AT45" s="65">
        <f>SUM(AT48:AT54)</f>
        <v>27823500</v>
      </c>
      <c r="AU45" s="65">
        <f>AT45+U45</f>
        <v>82825500</v>
      </c>
      <c r="AV45" s="65">
        <f>AK45</f>
        <v>60632256</v>
      </c>
      <c r="AW45" s="66">
        <f>AV45/AU45*100</f>
        <v>73.204817356973393</v>
      </c>
      <c r="AX45" s="65">
        <f>AU45-AV45</f>
        <v>22193244</v>
      </c>
      <c r="AY45" s="65">
        <f>AS45/AB45*100</f>
        <v>22.92780205128205</v>
      </c>
      <c r="AZ45" s="67">
        <f>AQ45-AO45</f>
        <v>60632256</v>
      </c>
    </row>
    <row r="46" spans="1:53" ht="20.100000000000001" customHeight="1">
      <c r="A46" s="68"/>
      <c r="B46" s="69"/>
      <c r="C46" s="240" t="s">
        <v>161</v>
      </c>
      <c r="D46" s="240"/>
      <c r="E46" s="241"/>
      <c r="F46" s="70"/>
      <c r="G46" s="71"/>
      <c r="H46" s="240" t="s">
        <v>143</v>
      </c>
      <c r="I46" s="240"/>
      <c r="J46" s="240"/>
      <c r="K46" s="241"/>
      <c r="L46" s="49"/>
      <c r="M46" s="49"/>
      <c r="N46" s="49"/>
      <c r="O46" s="49"/>
      <c r="P46" s="49"/>
      <c r="Q46" s="49"/>
      <c r="R46" s="72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>
        <f t="shared" si="15"/>
        <v>0</v>
      </c>
      <c r="AD46" s="49"/>
      <c r="AE46" s="49"/>
      <c r="AF46" s="49"/>
      <c r="AG46" s="49"/>
      <c r="AH46" s="49"/>
      <c r="AI46" s="49"/>
      <c r="AJ46" s="49"/>
      <c r="AK46" s="49"/>
      <c r="AL46" s="49"/>
      <c r="AM46" s="49"/>
      <c r="AN46" s="49"/>
      <c r="AO46" s="49"/>
      <c r="AP46" s="49"/>
      <c r="AQ46" s="49">
        <f>AK46+AL46+AM46+AN46+AO46+AP46</f>
        <v>0</v>
      </c>
      <c r="AR46" s="49"/>
      <c r="AS46" s="49">
        <f t="shared" si="18"/>
        <v>0</v>
      </c>
      <c r="AT46" s="49"/>
      <c r="AU46" s="49"/>
      <c r="AV46" s="49"/>
      <c r="AW46" s="49"/>
      <c r="AX46" s="49"/>
      <c r="AY46" s="49"/>
      <c r="AZ46" s="73">
        <f t="shared" si="17"/>
        <v>0</v>
      </c>
    </row>
    <row r="47" spans="1:53" ht="20.100000000000001" customHeight="1">
      <c r="A47" s="68"/>
      <c r="B47" s="69"/>
      <c r="C47" s="240" t="s">
        <v>162</v>
      </c>
      <c r="D47" s="240"/>
      <c r="E47" s="241"/>
      <c r="F47" s="70"/>
      <c r="G47" s="71"/>
      <c r="H47" s="71"/>
      <c r="I47" s="240" t="s">
        <v>163</v>
      </c>
      <c r="J47" s="240"/>
      <c r="K47" s="241"/>
      <c r="L47" s="49"/>
      <c r="M47" s="49"/>
      <c r="N47" s="49"/>
      <c r="O47" s="49"/>
      <c r="P47" s="49"/>
      <c r="Q47" s="49"/>
      <c r="R47" s="72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>
        <f t="shared" si="15"/>
        <v>0</v>
      </c>
      <c r="AD47" s="49"/>
      <c r="AE47" s="49"/>
      <c r="AF47" s="49"/>
      <c r="AG47" s="49"/>
      <c r="AH47" s="49"/>
      <c r="AI47" s="49"/>
      <c r="AJ47" s="49"/>
      <c r="AK47" s="49"/>
      <c r="AL47" s="49"/>
      <c r="AM47" s="49"/>
      <c r="AN47" s="49"/>
      <c r="AO47" s="49"/>
      <c r="AP47" s="49"/>
      <c r="AQ47" s="49">
        <f>AK47+AL47+AM47+AN47+AO47+AP47</f>
        <v>0</v>
      </c>
      <c r="AR47" s="49"/>
      <c r="AS47" s="49">
        <f t="shared" si="18"/>
        <v>0</v>
      </c>
      <c r="AT47" s="49"/>
      <c r="AU47" s="49"/>
      <c r="AV47" s="49"/>
      <c r="AW47" s="49"/>
      <c r="AX47" s="49"/>
      <c r="AY47" s="49"/>
      <c r="AZ47" s="73">
        <f t="shared" si="17"/>
        <v>0</v>
      </c>
    </row>
    <row r="48" spans="1:53" ht="20.100000000000001" customHeight="1">
      <c r="A48" s="68"/>
      <c r="B48" s="69"/>
      <c r="C48" s="240" t="s">
        <v>164</v>
      </c>
      <c r="D48" s="240"/>
      <c r="E48" s="241"/>
      <c r="F48" s="70"/>
      <c r="G48" s="71"/>
      <c r="H48" s="71"/>
      <c r="I48" s="71"/>
      <c r="J48" s="240" t="s">
        <v>165</v>
      </c>
      <c r="K48" s="241"/>
      <c r="L48" s="49">
        <v>14720000</v>
      </c>
      <c r="M48" s="49">
        <v>3681000</v>
      </c>
      <c r="N48" s="49">
        <v>1016899</v>
      </c>
      <c r="O48" s="49"/>
      <c r="P48" s="49"/>
      <c r="Q48" s="49">
        <f t="shared" ref="Q48:Q53" si="21">SUM(N48:P48)</f>
        <v>1016899</v>
      </c>
      <c r="R48" s="72">
        <f t="shared" si="13"/>
        <v>27.625618038576473</v>
      </c>
      <c r="S48" s="49">
        <f t="shared" ref="S48:S53" si="22">M48-Q48</f>
        <v>2664101</v>
      </c>
      <c r="T48" s="49">
        <v>3681000</v>
      </c>
      <c r="U48" s="49">
        <f t="shared" ref="U48:U53" si="23">T48+M48</f>
        <v>7362000</v>
      </c>
      <c r="V48" s="49">
        <f t="shared" ref="V48:V53" si="24">T48+S48</f>
        <v>6345101</v>
      </c>
      <c r="W48" s="49">
        <f>931843+501158</f>
        <v>1433001</v>
      </c>
      <c r="X48" s="49"/>
      <c r="Y48" s="49"/>
      <c r="Z48" s="49"/>
      <c r="AA48" s="49">
        <v>3681000</v>
      </c>
      <c r="AB48" s="49">
        <v>9600000</v>
      </c>
      <c r="AC48" s="49">
        <f>AB48-L48</f>
        <v>-5120000</v>
      </c>
      <c r="AD48" s="49">
        <f t="shared" ref="AD48:AD53" si="25">AA48+T48+M48</f>
        <v>11043000</v>
      </c>
      <c r="AE48" s="49"/>
      <c r="AF48" s="49"/>
      <c r="AG48" s="49">
        <f>806206+482299</f>
        <v>1288505</v>
      </c>
      <c r="AH48" s="49"/>
      <c r="AI48" s="49"/>
      <c r="AJ48" s="49">
        <v>348224</v>
      </c>
      <c r="AK48" s="49">
        <f>Z48+Y48+X48+W48+N48+AG48+AJ48+AI48+AH48</f>
        <v>4086629</v>
      </c>
      <c r="AL48" s="49">
        <f>AK48/AD48*100</f>
        <v>37.006510911889883</v>
      </c>
      <c r="AM48" s="49"/>
      <c r="AN48" s="49"/>
      <c r="AO48" s="42">
        <f>510228</f>
        <v>510228</v>
      </c>
      <c r="AP48" s="49"/>
      <c r="AQ48" s="49">
        <f t="shared" ref="AQ48:AQ53" si="26">AK48+AM48+AN48+AO48+AP48</f>
        <v>4596857</v>
      </c>
      <c r="AR48" s="49">
        <f t="shared" ref="AR48:AR53" si="27">AQ48/AB48*100</f>
        <v>47.883927083333333</v>
      </c>
      <c r="AS48" s="49">
        <f t="shared" si="18"/>
        <v>5003143</v>
      </c>
      <c r="AT48" s="49">
        <v>3091500</v>
      </c>
      <c r="AU48" s="49">
        <f t="shared" ref="AU48:AU53" si="28">AT48+U48</f>
        <v>10453500</v>
      </c>
      <c r="AV48" s="49">
        <f t="shared" ref="AV48:AV53" si="29">AK48</f>
        <v>4086629</v>
      </c>
      <c r="AW48" s="72">
        <f t="shared" ref="AW48:AW53" si="30">AV48/AU48*100</f>
        <v>39.093404123020996</v>
      </c>
      <c r="AX48" s="49">
        <f t="shared" ref="AX48:AX53" si="31">AU48-AV48</f>
        <v>6366871</v>
      </c>
      <c r="AY48" s="49">
        <f t="shared" ref="AY48:AY53" si="32">AS48/AB48*100</f>
        <v>52.116072916666667</v>
      </c>
      <c r="AZ48" s="73">
        <f t="shared" si="17"/>
        <v>4086629</v>
      </c>
    </row>
    <row r="49" spans="1:52" ht="20.100000000000001" customHeight="1">
      <c r="A49" s="68"/>
      <c r="B49" s="69"/>
      <c r="C49" s="240" t="s">
        <v>166</v>
      </c>
      <c r="D49" s="240"/>
      <c r="E49" s="241"/>
      <c r="F49" s="70"/>
      <c r="G49" s="71"/>
      <c r="H49" s="71"/>
      <c r="I49" s="71"/>
      <c r="J49" s="240" t="s">
        <v>167</v>
      </c>
      <c r="K49" s="241"/>
      <c r="L49" s="49">
        <v>10800000</v>
      </c>
      <c r="M49" s="49">
        <v>2700000</v>
      </c>
      <c r="N49" s="49">
        <v>1445050</v>
      </c>
      <c r="O49" s="49"/>
      <c r="P49" s="49"/>
      <c r="Q49" s="49">
        <f t="shared" si="21"/>
        <v>1445050</v>
      </c>
      <c r="R49" s="72">
        <f t="shared" si="13"/>
        <v>53.520370370370372</v>
      </c>
      <c r="S49" s="49">
        <f t="shared" si="22"/>
        <v>1254950</v>
      </c>
      <c r="T49" s="49">
        <v>2700000</v>
      </c>
      <c r="U49" s="49">
        <f t="shared" si="23"/>
        <v>5400000</v>
      </c>
      <c r="V49" s="49">
        <f t="shared" si="24"/>
        <v>3954950</v>
      </c>
      <c r="W49" s="49">
        <f>1481700+688850</f>
        <v>2170550</v>
      </c>
      <c r="X49" s="49"/>
      <c r="Y49" s="49"/>
      <c r="Z49" s="49"/>
      <c r="AA49" s="49">
        <v>2700000</v>
      </c>
      <c r="AB49" s="49">
        <v>9600000</v>
      </c>
      <c r="AC49" s="49">
        <f t="shared" ref="AC49:AC112" si="33">AB49-L49</f>
        <v>-1200000</v>
      </c>
      <c r="AD49" s="49">
        <f t="shared" si="25"/>
        <v>8100000</v>
      </c>
      <c r="AE49" s="49"/>
      <c r="AF49" s="49"/>
      <c r="AG49" s="49">
        <f>1094300+672100</f>
        <v>1766400</v>
      </c>
      <c r="AH49" s="49"/>
      <c r="AI49" s="49"/>
      <c r="AJ49" s="49">
        <v>399400</v>
      </c>
      <c r="AK49" s="49">
        <f>Z49+Y49+X49+W49+N49+AG49+AJ49+AI49+AH49</f>
        <v>5781400</v>
      </c>
      <c r="AL49" s="49">
        <f>AK49/AD49*100</f>
        <v>71.375308641975309</v>
      </c>
      <c r="AM49" s="49"/>
      <c r="AN49" s="49"/>
      <c r="AO49" s="42">
        <f>1207850</f>
        <v>1207850</v>
      </c>
      <c r="AP49" s="49"/>
      <c r="AQ49" s="49">
        <f t="shared" si="26"/>
        <v>6989250</v>
      </c>
      <c r="AR49" s="49">
        <f t="shared" si="27"/>
        <v>72.8046875</v>
      </c>
      <c r="AS49" s="49">
        <f t="shared" si="18"/>
        <v>2610750</v>
      </c>
      <c r="AT49" s="49">
        <v>3091500</v>
      </c>
      <c r="AU49" s="49">
        <f t="shared" si="28"/>
        <v>8491500</v>
      </c>
      <c r="AV49" s="49">
        <f t="shared" si="29"/>
        <v>5781400</v>
      </c>
      <c r="AW49" s="72">
        <f t="shared" si="30"/>
        <v>68.08455514337868</v>
      </c>
      <c r="AX49" s="49">
        <f t="shared" si="31"/>
        <v>2710100</v>
      </c>
      <c r="AY49" s="49">
        <f t="shared" si="32"/>
        <v>27.1953125</v>
      </c>
      <c r="AZ49" s="73">
        <f t="shared" si="17"/>
        <v>5781400</v>
      </c>
    </row>
    <row r="50" spans="1:52" ht="20.100000000000001" customHeight="1">
      <c r="A50" s="68"/>
      <c r="B50" s="69"/>
      <c r="C50" s="240" t="s">
        <v>168</v>
      </c>
      <c r="D50" s="240"/>
      <c r="E50" s="241"/>
      <c r="F50" s="70"/>
      <c r="G50" s="71"/>
      <c r="H50" s="71"/>
      <c r="I50" s="71"/>
      <c r="J50" s="240" t="s">
        <v>169</v>
      </c>
      <c r="K50" s="241"/>
      <c r="L50" s="49">
        <v>58800000</v>
      </c>
      <c r="M50" s="49">
        <v>14700000</v>
      </c>
      <c r="N50" s="49">
        <v>8098647</v>
      </c>
      <c r="O50" s="49"/>
      <c r="P50" s="49"/>
      <c r="Q50" s="49">
        <f t="shared" si="21"/>
        <v>8098647</v>
      </c>
      <c r="R50" s="72">
        <f t="shared" si="13"/>
        <v>55.092836734693876</v>
      </c>
      <c r="S50" s="49">
        <f t="shared" si="22"/>
        <v>6601353</v>
      </c>
      <c r="T50" s="49">
        <v>14700000</v>
      </c>
      <c r="U50" s="49">
        <f t="shared" si="23"/>
        <v>29400000</v>
      </c>
      <c r="V50" s="49">
        <f t="shared" si="24"/>
        <v>21301353</v>
      </c>
      <c r="W50" s="49">
        <f>8666744+4929971</f>
        <v>13596715</v>
      </c>
      <c r="X50" s="49"/>
      <c r="Y50" s="49"/>
      <c r="Z50" s="49"/>
      <c r="AA50" s="49">
        <v>14700000</v>
      </c>
      <c r="AB50" s="49">
        <v>56400000</v>
      </c>
      <c r="AC50" s="49">
        <f t="shared" si="33"/>
        <v>-2400000</v>
      </c>
      <c r="AD50" s="49">
        <f t="shared" si="25"/>
        <v>44100000</v>
      </c>
      <c r="AE50" s="49"/>
      <c r="AF50" s="49"/>
      <c r="AG50" s="49">
        <f>9141706+4987536</f>
        <v>14129242</v>
      </c>
      <c r="AH50" s="49"/>
      <c r="AI50" s="49"/>
      <c r="AJ50" s="49">
        <v>4461198</v>
      </c>
      <c r="AK50" s="49">
        <f>Z50+Y50+X50+W50+N50+AG50+AJ50+AI50+AH50</f>
        <v>40285802</v>
      </c>
      <c r="AL50" s="49">
        <f>AK50/AD50*100</f>
        <v>91.351024943310648</v>
      </c>
      <c r="AM50" s="49"/>
      <c r="AN50" s="49"/>
      <c r="AO50" s="42">
        <f>10505059</f>
        <v>10505059</v>
      </c>
      <c r="AP50" s="49"/>
      <c r="AQ50" s="49">
        <f t="shared" si="26"/>
        <v>50790861</v>
      </c>
      <c r="AR50" s="49">
        <f t="shared" si="27"/>
        <v>90.054718085106373</v>
      </c>
      <c r="AS50" s="49">
        <f t="shared" si="18"/>
        <v>5609139</v>
      </c>
      <c r="AT50" s="49">
        <v>3091500</v>
      </c>
      <c r="AU50" s="49">
        <f t="shared" si="28"/>
        <v>32491500</v>
      </c>
      <c r="AV50" s="49">
        <f t="shared" si="29"/>
        <v>40285802</v>
      </c>
      <c r="AW50" s="72">
        <f t="shared" si="30"/>
        <v>123.98874167089855</v>
      </c>
      <c r="AX50" s="49">
        <f t="shared" si="31"/>
        <v>-7794302</v>
      </c>
      <c r="AY50" s="49">
        <f t="shared" si="32"/>
        <v>9.9452819148936165</v>
      </c>
      <c r="AZ50" s="73">
        <f t="shared" si="17"/>
        <v>40285802</v>
      </c>
    </row>
    <row r="51" spans="1:52" ht="20.100000000000001" customHeight="1">
      <c r="A51" s="68"/>
      <c r="B51" s="69"/>
      <c r="C51" s="240" t="s">
        <v>170</v>
      </c>
      <c r="D51" s="240"/>
      <c r="E51" s="241"/>
      <c r="F51" s="70"/>
      <c r="G51" s="71"/>
      <c r="H51" s="71"/>
      <c r="I51" s="71"/>
      <c r="J51" s="240" t="s">
        <v>171</v>
      </c>
      <c r="K51" s="241"/>
      <c r="L51" s="49">
        <v>2880000</v>
      </c>
      <c r="M51" s="49">
        <v>720000</v>
      </c>
      <c r="N51" s="49">
        <f>95000+220000</f>
        <v>315000</v>
      </c>
      <c r="O51" s="49"/>
      <c r="P51" s="49"/>
      <c r="Q51" s="49">
        <f t="shared" si="21"/>
        <v>315000</v>
      </c>
      <c r="R51" s="72">
        <f t="shared" si="13"/>
        <v>43.75</v>
      </c>
      <c r="S51" s="49">
        <f t="shared" si="22"/>
        <v>405000</v>
      </c>
      <c r="T51" s="49">
        <v>720000</v>
      </c>
      <c r="U51" s="49">
        <f t="shared" si="23"/>
        <v>1440000</v>
      </c>
      <c r="V51" s="49">
        <f t="shared" si="24"/>
        <v>1125000</v>
      </c>
      <c r="W51" s="49">
        <f>190000+220000</f>
        <v>410000</v>
      </c>
      <c r="X51" s="49"/>
      <c r="Y51" s="49"/>
      <c r="Z51" s="49"/>
      <c r="AA51" s="49">
        <v>720000</v>
      </c>
      <c r="AB51" s="49">
        <v>2700000</v>
      </c>
      <c r="AC51" s="49">
        <f t="shared" si="33"/>
        <v>-180000</v>
      </c>
      <c r="AD51" s="49">
        <f t="shared" si="25"/>
        <v>2160000</v>
      </c>
      <c r="AE51" s="49"/>
      <c r="AF51" s="49"/>
      <c r="AG51" s="49">
        <f>220000+190000+110000+95000</f>
        <v>615000</v>
      </c>
      <c r="AH51" s="49"/>
      <c r="AI51" s="49"/>
      <c r="AJ51" s="49">
        <f>95000+110000</f>
        <v>205000</v>
      </c>
      <c r="AK51" s="49">
        <f>Z51+Y51+X51+W51+N51+AG51+AJ51+AI51+AH51</f>
        <v>1545000</v>
      </c>
      <c r="AL51" s="49">
        <f>AK51/AD51*100</f>
        <v>71.527777777777786</v>
      </c>
      <c r="AM51" s="49"/>
      <c r="AN51" s="49"/>
      <c r="AO51" s="42">
        <f>410000</f>
        <v>410000</v>
      </c>
      <c r="AP51" s="49"/>
      <c r="AQ51" s="49">
        <f t="shared" si="26"/>
        <v>1955000</v>
      </c>
      <c r="AR51" s="49">
        <f t="shared" si="27"/>
        <v>72.407407407407405</v>
      </c>
      <c r="AS51" s="49">
        <f t="shared" si="18"/>
        <v>745000</v>
      </c>
      <c r="AT51" s="49">
        <v>3091500</v>
      </c>
      <c r="AU51" s="49">
        <f t="shared" si="28"/>
        <v>4531500</v>
      </c>
      <c r="AV51" s="49">
        <f t="shared" si="29"/>
        <v>1545000</v>
      </c>
      <c r="AW51" s="72">
        <f t="shared" si="30"/>
        <v>34.094670638861302</v>
      </c>
      <c r="AX51" s="49">
        <f t="shared" si="31"/>
        <v>2986500</v>
      </c>
      <c r="AY51" s="49">
        <f t="shared" si="32"/>
        <v>27.592592592592592</v>
      </c>
      <c r="AZ51" s="73">
        <f t="shared" si="17"/>
        <v>1545000</v>
      </c>
    </row>
    <row r="52" spans="1:52" ht="20.100000000000001" customHeight="1">
      <c r="A52" s="68"/>
      <c r="B52" s="69"/>
      <c r="C52" s="240" t="s">
        <v>172</v>
      </c>
      <c r="D52" s="240"/>
      <c r="E52" s="241"/>
      <c r="F52" s="70"/>
      <c r="G52" s="71"/>
      <c r="H52" s="71"/>
      <c r="I52" s="71"/>
      <c r="J52" s="240" t="s">
        <v>173</v>
      </c>
      <c r="K52" s="241"/>
      <c r="L52" s="49">
        <v>22800000</v>
      </c>
      <c r="M52" s="49">
        <v>5700000</v>
      </c>
      <c r="N52" s="49">
        <v>2136850</v>
      </c>
      <c r="O52" s="49"/>
      <c r="P52" s="49"/>
      <c r="Q52" s="49">
        <f t="shared" si="21"/>
        <v>2136850</v>
      </c>
      <c r="R52" s="72">
        <f t="shared" si="13"/>
        <v>37.488596491228073</v>
      </c>
      <c r="S52" s="49">
        <f t="shared" si="22"/>
        <v>3563150</v>
      </c>
      <c r="T52" s="49">
        <v>5700000</v>
      </c>
      <c r="U52" s="49">
        <f t="shared" si="23"/>
        <v>11400000</v>
      </c>
      <c r="V52" s="49">
        <f t="shared" si="24"/>
        <v>9263150</v>
      </c>
      <c r="W52" s="49">
        <f>2128600+957475</f>
        <v>3086075</v>
      </c>
      <c r="X52" s="49"/>
      <c r="Y52" s="49"/>
      <c r="Z52" s="49"/>
      <c r="AA52" s="49">
        <v>5700000</v>
      </c>
      <c r="AB52" s="49">
        <v>19200000</v>
      </c>
      <c r="AC52" s="49">
        <f t="shared" si="33"/>
        <v>-3600000</v>
      </c>
      <c r="AD52" s="49">
        <f t="shared" si="25"/>
        <v>17100000</v>
      </c>
      <c r="AE52" s="49"/>
      <c r="AF52" s="49"/>
      <c r="AG52" s="49">
        <f>1847000+923500</f>
        <v>2770500</v>
      </c>
      <c r="AH52" s="49"/>
      <c r="AI52" s="49"/>
      <c r="AJ52" s="49">
        <v>940000</v>
      </c>
      <c r="AK52" s="49">
        <f>Z52+Y52+X52+W52+N52+AG52+AJ52+AI52+AH52</f>
        <v>8933425</v>
      </c>
      <c r="AL52" s="49">
        <f>AK52/AD52*100</f>
        <v>52.24225146198831</v>
      </c>
      <c r="AM52" s="49"/>
      <c r="AN52" s="49"/>
      <c r="AO52" s="42">
        <v>1880000</v>
      </c>
      <c r="AP52" s="49"/>
      <c r="AQ52" s="49">
        <f t="shared" si="26"/>
        <v>10813425</v>
      </c>
      <c r="AR52" s="49">
        <f t="shared" si="27"/>
        <v>56.319921874999999</v>
      </c>
      <c r="AS52" s="49">
        <f t="shared" si="18"/>
        <v>8386575</v>
      </c>
      <c r="AT52" s="49">
        <v>3091500</v>
      </c>
      <c r="AU52" s="49">
        <f t="shared" si="28"/>
        <v>14491500</v>
      </c>
      <c r="AV52" s="49">
        <f t="shared" si="29"/>
        <v>8933425</v>
      </c>
      <c r="AW52" s="72">
        <f t="shared" si="30"/>
        <v>61.645964875961766</v>
      </c>
      <c r="AX52" s="49">
        <f t="shared" si="31"/>
        <v>5558075</v>
      </c>
      <c r="AY52" s="49">
        <f t="shared" si="32"/>
        <v>43.680078125000001</v>
      </c>
      <c r="AZ52" s="73">
        <f t="shared" si="17"/>
        <v>8933425</v>
      </c>
    </row>
    <row r="53" spans="1:52" ht="20.100000000000001" customHeight="1">
      <c r="A53" s="62">
        <v>3</v>
      </c>
      <c r="B53" s="63"/>
      <c r="C53" s="242" t="s">
        <v>174</v>
      </c>
      <c r="D53" s="242"/>
      <c r="E53" s="243"/>
      <c r="F53" s="64"/>
      <c r="G53" s="244" t="s">
        <v>2</v>
      </c>
      <c r="H53" s="244"/>
      <c r="I53" s="244"/>
      <c r="J53" s="244"/>
      <c r="K53" s="245"/>
      <c r="L53" s="65">
        <f>SUM(L56:L68)</f>
        <v>70000000</v>
      </c>
      <c r="M53" s="65">
        <f>SUM(M56:M68)</f>
        <v>19590000</v>
      </c>
      <c r="N53" s="65">
        <f>SUM(N56:N68)</f>
        <v>17365825</v>
      </c>
      <c r="O53" s="65">
        <f>SUM(O56:O68)</f>
        <v>0</v>
      </c>
      <c r="P53" s="65">
        <f>SUM(P56:P68)</f>
        <v>0</v>
      </c>
      <c r="Q53" s="65">
        <f t="shared" si="21"/>
        <v>17365825</v>
      </c>
      <c r="R53" s="66">
        <f t="shared" si="13"/>
        <v>88.646375701888715</v>
      </c>
      <c r="S53" s="65">
        <f t="shared" si="22"/>
        <v>2224175</v>
      </c>
      <c r="T53" s="65">
        <f>SUM(T56:T68)</f>
        <v>18646000</v>
      </c>
      <c r="U53" s="65">
        <f t="shared" si="23"/>
        <v>38236000</v>
      </c>
      <c r="V53" s="65">
        <f t="shared" si="24"/>
        <v>20870175</v>
      </c>
      <c r="W53" s="65">
        <f>SUM(W56:W68)</f>
        <v>9930125</v>
      </c>
      <c r="X53" s="65">
        <f>SUM(X56:X68)</f>
        <v>0</v>
      </c>
      <c r="Y53" s="65">
        <f>SUM(Y56:Y68)</f>
        <v>0</v>
      </c>
      <c r="Z53" s="65"/>
      <c r="AA53" s="65">
        <f>SUM(AA56:AA68)</f>
        <v>19350000</v>
      </c>
      <c r="AB53" s="65">
        <f>SUM(AB56:AB68)</f>
        <v>70000000</v>
      </c>
      <c r="AC53" s="65">
        <f t="shared" si="33"/>
        <v>0</v>
      </c>
      <c r="AD53" s="65">
        <f t="shared" si="25"/>
        <v>57586000</v>
      </c>
      <c r="AE53" s="65">
        <f t="shared" ref="AE53:AK53" si="34">SUM(AE56:AE68)</f>
        <v>0</v>
      </c>
      <c r="AF53" s="65">
        <f t="shared" si="34"/>
        <v>0</v>
      </c>
      <c r="AG53" s="65">
        <f t="shared" si="34"/>
        <v>18824525</v>
      </c>
      <c r="AH53" s="65">
        <f t="shared" si="34"/>
        <v>0</v>
      </c>
      <c r="AI53" s="65">
        <f t="shared" si="34"/>
        <v>0</v>
      </c>
      <c r="AJ53" s="65">
        <f t="shared" si="34"/>
        <v>7374150</v>
      </c>
      <c r="AK53" s="65">
        <f t="shared" si="34"/>
        <v>53494625</v>
      </c>
      <c r="AL53" s="65">
        <f>AK53/AB53*100</f>
        <v>76.420892857142846</v>
      </c>
      <c r="AM53" s="65">
        <f>SUM(AM56:AM68)</f>
        <v>0</v>
      </c>
      <c r="AN53" s="65">
        <f>SUM(AN56:AN68)</f>
        <v>0</v>
      </c>
      <c r="AO53" s="42">
        <f>SUM(AO56:AO68)</f>
        <v>10466500</v>
      </c>
      <c r="AP53" s="65">
        <f>SUM(AP56:AP68)</f>
        <v>0</v>
      </c>
      <c r="AQ53" s="65">
        <f t="shared" si="26"/>
        <v>63961125</v>
      </c>
      <c r="AR53" s="65">
        <f t="shared" si="27"/>
        <v>91.373035714285706</v>
      </c>
      <c r="AS53" s="65">
        <f t="shared" si="18"/>
        <v>6038875</v>
      </c>
      <c r="AT53" s="65">
        <f>SUM(AT56:AT62)</f>
        <v>12366000</v>
      </c>
      <c r="AU53" s="65">
        <f t="shared" si="28"/>
        <v>50602000</v>
      </c>
      <c r="AV53" s="65">
        <f t="shared" si="29"/>
        <v>53494625</v>
      </c>
      <c r="AW53" s="66">
        <f t="shared" si="30"/>
        <v>105.71642425200585</v>
      </c>
      <c r="AX53" s="65">
        <f t="shared" si="31"/>
        <v>-2892625</v>
      </c>
      <c r="AY53" s="65">
        <f t="shared" si="32"/>
        <v>8.6269642857142852</v>
      </c>
      <c r="AZ53" s="67">
        <f t="shared" si="17"/>
        <v>53494625</v>
      </c>
    </row>
    <row r="54" spans="1:52" ht="20.100000000000001" customHeight="1">
      <c r="A54" s="68"/>
      <c r="B54" s="69"/>
      <c r="C54" s="240" t="s">
        <v>175</v>
      </c>
      <c r="D54" s="240"/>
      <c r="E54" s="241"/>
      <c r="F54" s="70"/>
      <c r="G54" s="71"/>
      <c r="H54" s="240" t="s">
        <v>10</v>
      </c>
      <c r="I54" s="240"/>
      <c r="J54" s="240"/>
      <c r="K54" s="241"/>
      <c r="L54" s="49"/>
      <c r="M54" s="49"/>
      <c r="N54" s="49"/>
      <c r="O54" s="49"/>
      <c r="P54" s="49"/>
      <c r="Q54" s="49"/>
      <c r="R54" s="72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>
        <f t="shared" si="33"/>
        <v>0</v>
      </c>
      <c r="AD54" s="49"/>
      <c r="AE54" s="49"/>
      <c r="AF54" s="49"/>
      <c r="AG54" s="49"/>
      <c r="AH54" s="49"/>
      <c r="AI54" s="49"/>
      <c r="AJ54" s="49"/>
      <c r="AK54" s="49"/>
      <c r="AL54" s="49"/>
      <c r="AM54" s="49"/>
      <c r="AN54" s="49"/>
      <c r="AO54" s="49"/>
      <c r="AP54" s="49"/>
      <c r="AQ54" s="49"/>
      <c r="AR54" s="49"/>
      <c r="AS54" s="49"/>
      <c r="AT54" s="49"/>
      <c r="AU54" s="49"/>
      <c r="AV54" s="49"/>
      <c r="AW54" s="49"/>
      <c r="AX54" s="49"/>
      <c r="AY54" s="49"/>
      <c r="AZ54" s="73">
        <f t="shared" si="17"/>
        <v>0</v>
      </c>
    </row>
    <row r="55" spans="1:52" ht="20.100000000000001" customHeight="1">
      <c r="A55" s="68"/>
      <c r="B55" s="69"/>
      <c r="C55" s="240" t="s">
        <v>176</v>
      </c>
      <c r="D55" s="240"/>
      <c r="E55" s="241"/>
      <c r="F55" s="70"/>
      <c r="G55" s="71"/>
      <c r="H55" s="71"/>
      <c r="I55" s="240" t="s">
        <v>177</v>
      </c>
      <c r="J55" s="240"/>
      <c r="K55" s="241"/>
      <c r="L55" s="49"/>
      <c r="M55" s="49"/>
      <c r="N55" s="49"/>
      <c r="O55" s="49"/>
      <c r="P55" s="49"/>
      <c r="Q55" s="49"/>
      <c r="R55" s="72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>
        <f t="shared" si="33"/>
        <v>0</v>
      </c>
      <c r="AD55" s="49"/>
      <c r="AE55" s="49"/>
      <c r="AF55" s="49"/>
      <c r="AG55" s="49"/>
      <c r="AH55" s="49"/>
      <c r="AI55" s="49"/>
      <c r="AJ55" s="49"/>
      <c r="AK55" s="49"/>
      <c r="AL55" s="49"/>
      <c r="AM55" s="49"/>
      <c r="AN55" s="49"/>
      <c r="AO55" s="49"/>
      <c r="AP55" s="49"/>
      <c r="AQ55" s="49"/>
      <c r="AR55" s="49"/>
      <c r="AS55" s="49"/>
      <c r="AT55" s="49"/>
      <c r="AU55" s="49"/>
      <c r="AV55" s="49"/>
      <c r="AW55" s="49"/>
      <c r="AX55" s="49"/>
      <c r="AY55" s="49"/>
      <c r="AZ55" s="73">
        <f t="shared" si="17"/>
        <v>0</v>
      </c>
    </row>
    <row r="56" spans="1:52" ht="20.100000000000001" customHeight="1">
      <c r="A56" s="68"/>
      <c r="B56" s="69"/>
      <c r="C56" s="240" t="s">
        <v>178</v>
      </c>
      <c r="D56" s="240"/>
      <c r="E56" s="241"/>
      <c r="F56" s="70"/>
      <c r="G56" s="71"/>
      <c r="H56" s="71"/>
      <c r="I56" s="71"/>
      <c r="J56" s="240" t="s">
        <v>179</v>
      </c>
      <c r="K56" s="241"/>
      <c r="L56" s="49">
        <v>31200000</v>
      </c>
      <c r="M56" s="49">
        <v>7800000</v>
      </c>
      <c r="N56" s="49">
        <v>7800000</v>
      </c>
      <c r="O56" s="49"/>
      <c r="P56" s="49"/>
      <c r="Q56" s="49">
        <f>SUM(N56:P56)</f>
        <v>7800000</v>
      </c>
      <c r="R56" s="72">
        <f t="shared" si="13"/>
        <v>100</v>
      </c>
      <c r="S56" s="49">
        <f>M56-Q56</f>
        <v>0</v>
      </c>
      <c r="T56" s="49">
        <v>7800000</v>
      </c>
      <c r="U56" s="49">
        <f>T56+M56</f>
        <v>15600000</v>
      </c>
      <c r="V56" s="49">
        <f>T56+S56</f>
        <v>7800000</v>
      </c>
      <c r="W56" s="49">
        <v>5200000</v>
      </c>
      <c r="X56" s="49"/>
      <c r="Y56" s="49"/>
      <c r="Z56" s="49"/>
      <c r="AA56" s="49">
        <v>7800000</v>
      </c>
      <c r="AB56" s="49">
        <v>31200000</v>
      </c>
      <c r="AC56" s="49">
        <f t="shared" si="33"/>
        <v>0</v>
      </c>
      <c r="AD56" s="49">
        <f>AA56+T56+M56</f>
        <v>23400000</v>
      </c>
      <c r="AE56" s="49"/>
      <c r="AF56" s="49"/>
      <c r="AG56" s="49">
        <f>2600000+2600000+2600000</f>
        <v>7800000</v>
      </c>
      <c r="AH56" s="49"/>
      <c r="AI56" s="49"/>
      <c r="AJ56" s="49">
        <v>2600000</v>
      </c>
      <c r="AK56" s="49">
        <f>Z56+Y56+X56+W56+N56+AG56+AJ56+AI56+AH56</f>
        <v>23400000</v>
      </c>
      <c r="AL56" s="49">
        <f>AK56/AD56*100</f>
        <v>100</v>
      </c>
      <c r="AM56" s="49"/>
      <c r="AN56" s="49"/>
      <c r="AO56" s="42">
        <v>5200000</v>
      </c>
      <c r="AP56" s="49"/>
      <c r="AQ56" s="49">
        <f>AK56+AM56+AN56+AO56+AP56</f>
        <v>28600000</v>
      </c>
      <c r="AR56" s="49">
        <f>AQ56/AB56*100</f>
        <v>91.666666666666657</v>
      </c>
      <c r="AS56" s="49">
        <f>AB56-AQ56</f>
        <v>2600000</v>
      </c>
      <c r="AT56" s="49">
        <v>3091500</v>
      </c>
      <c r="AU56" s="49">
        <f>AT56+U56</f>
        <v>18691500</v>
      </c>
      <c r="AV56" s="49">
        <f>AK56</f>
        <v>23400000</v>
      </c>
      <c r="AW56" s="72">
        <f>AV56/AU56*100</f>
        <v>125.1905946553246</v>
      </c>
      <c r="AX56" s="49">
        <f>AU56-AV56</f>
        <v>-4708500</v>
      </c>
      <c r="AY56" s="49">
        <f>AS56/AB56*100</f>
        <v>8.3333333333333321</v>
      </c>
      <c r="AZ56" s="73">
        <f t="shared" si="17"/>
        <v>23400000</v>
      </c>
    </row>
    <row r="57" spans="1:52" ht="20.100000000000001" customHeight="1">
      <c r="A57" s="68"/>
      <c r="B57" s="69"/>
      <c r="C57" s="240" t="s">
        <v>180</v>
      </c>
      <c r="D57" s="240"/>
      <c r="E57" s="241"/>
      <c r="F57" s="70"/>
      <c r="G57" s="71"/>
      <c r="H57" s="71"/>
      <c r="I57" s="240" t="s">
        <v>181</v>
      </c>
      <c r="J57" s="240"/>
      <c r="K57" s="241"/>
      <c r="L57" s="49"/>
      <c r="M57" s="49"/>
      <c r="N57" s="49"/>
      <c r="O57" s="49"/>
      <c r="P57" s="49"/>
      <c r="Q57" s="49"/>
      <c r="R57" s="72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>
        <f t="shared" si="33"/>
        <v>0</v>
      </c>
      <c r="AD57" s="49"/>
      <c r="AE57" s="49"/>
      <c r="AF57" s="49"/>
      <c r="AG57" s="49"/>
      <c r="AH57" s="49"/>
      <c r="AI57" s="49"/>
      <c r="AJ57" s="49"/>
      <c r="AK57" s="49"/>
      <c r="AL57" s="49"/>
      <c r="AM57" s="49"/>
      <c r="AN57" s="49"/>
      <c r="AO57" s="49"/>
      <c r="AP57" s="49"/>
      <c r="AQ57" s="49"/>
      <c r="AR57" s="49"/>
      <c r="AS57" s="49"/>
      <c r="AT57" s="49"/>
      <c r="AU57" s="49"/>
      <c r="AV57" s="49"/>
      <c r="AW57" s="49"/>
      <c r="AX57" s="49"/>
      <c r="AY57" s="49"/>
      <c r="AZ57" s="73">
        <f t="shared" si="17"/>
        <v>0</v>
      </c>
    </row>
    <row r="58" spans="1:52" ht="20.100000000000001" customHeight="1">
      <c r="A58" s="68"/>
      <c r="B58" s="69"/>
      <c r="C58" s="240" t="s">
        <v>182</v>
      </c>
      <c r="D58" s="240"/>
      <c r="E58" s="241"/>
      <c r="F58" s="70"/>
      <c r="G58" s="71"/>
      <c r="H58" s="71"/>
      <c r="I58" s="71"/>
      <c r="J58" s="240" t="s">
        <v>183</v>
      </c>
      <c r="K58" s="241"/>
      <c r="L58" s="49">
        <v>12064000</v>
      </c>
      <c r="M58" s="49">
        <v>2200000</v>
      </c>
      <c r="N58" s="49">
        <v>2069500</v>
      </c>
      <c r="O58" s="49"/>
      <c r="P58" s="49"/>
      <c r="Q58" s="49">
        <f>SUM(N58:P58)</f>
        <v>2069500</v>
      </c>
      <c r="R58" s="72">
        <f t="shared" si="13"/>
        <v>94.068181818181813</v>
      </c>
      <c r="S58" s="49">
        <f>M58-Q58</f>
        <v>130500</v>
      </c>
      <c r="T58" s="49">
        <v>4600000</v>
      </c>
      <c r="U58" s="49">
        <f>T58+M58</f>
        <v>6800000</v>
      </c>
      <c r="V58" s="49">
        <f>T58+S58</f>
        <v>4730500</v>
      </c>
      <c r="W58" s="49">
        <v>2534000</v>
      </c>
      <c r="X58" s="49"/>
      <c r="Y58" s="49"/>
      <c r="Z58" s="49"/>
      <c r="AA58" s="49">
        <v>3000000</v>
      </c>
      <c r="AB58" s="49">
        <v>12064000</v>
      </c>
      <c r="AC58" s="49">
        <f t="shared" si="33"/>
        <v>0</v>
      </c>
      <c r="AD58" s="49">
        <f>AA58+T58+M58</f>
        <v>9800000</v>
      </c>
      <c r="AE58" s="49"/>
      <c r="AF58" s="49"/>
      <c r="AG58" s="49">
        <f>2196000+2944000</f>
        <v>5140000</v>
      </c>
      <c r="AH58" s="49"/>
      <c r="AI58" s="49"/>
      <c r="AJ58" s="49"/>
      <c r="AK58" s="49">
        <f>Z58+Y58+X58+W58+N58+AG58+AJ58+AI58+AH58</f>
        <v>9743500</v>
      </c>
      <c r="AL58" s="49">
        <f>AK58/AD58*100</f>
        <v>99.423469387755105</v>
      </c>
      <c r="AM58" s="49"/>
      <c r="AN58" s="49"/>
      <c r="AO58" s="42">
        <v>2298500</v>
      </c>
      <c r="AP58" s="49"/>
      <c r="AQ58" s="49">
        <f>AK58+AM58+AN58+AO58+AP58</f>
        <v>12042000</v>
      </c>
      <c r="AR58" s="49">
        <f>AQ58/AB58*100</f>
        <v>99.817639257294431</v>
      </c>
      <c r="AS58" s="49">
        <f>AB58-AQ58</f>
        <v>22000</v>
      </c>
      <c r="AT58" s="49">
        <v>3091500</v>
      </c>
      <c r="AU58" s="49">
        <f>AT58+U58</f>
        <v>9891500</v>
      </c>
      <c r="AV58" s="49">
        <f>AK58</f>
        <v>9743500</v>
      </c>
      <c r="AW58" s="72">
        <f>AV58/AU58*100</f>
        <v>98.503765859576404</v>
      </c>
      <c r="AX58" s="49">
        <f>AU58-AV58</f>
        <v>148000</v>
      </c>
      <c r="AY58" s="49">
        <f>AS58/AB58*100</f>
        <v>0.18236074270557029</v>
      </c>
      <c r="AZ58" s="73">
        <f t="shared" si="17"/>
        <v>9743500</v>
      </c>
    </row>
    <row r="59" spans="1:52" ht="20.100000000000001" customHeight="1">
      <c r="A59" s="68"/>
      <c r="B59" s="69"/>
      <c r="C59" s="240" t="s">
        <v>184</v>
      </c>
      <c r="D59" s="240"/>
      <c r="E59" s="241"/>
      <c r="F59" s="70"/>
      <c r="G59" s="71"/>
      <c r="H59" s="240" t="s">
        <v>143</v>
      </c>
      <c r="I59" s="240"/>
      <c r="J59" s="240"/>
      <c r="K59" s="241"/>
      <c r="L59" s="49"/>
      <c r="M59" s="49"/>
      <c r="N59" s="49"/>
      <c r="O59" s="49"/>
      <c r="P59" s="49"/>
      <c r="Q59" s="49"/>
      <c r="R59" s="72"/>
      <c r="S59" s="49"/>
      <c r="T59" s="49"/>
      <c r="U59" s="49"/>
      <c r="V59" s="49" t="s">
        <v>185</v>
      </c>
      <c r="W59" s="49"/>
      <c r="X59" s="49"/>
      <c r="Y59" s="49"/>
      <c r="Z59" s="49"/>
      <c r="AA59" s="49"/>
      <c r="AB59" s="49"/>
      <c r="AC59" s="49">
        <f t="shared" si="33"/>
        <v>0</v>
      </c>
      <c r="AD59" s="49"/>
      <c r="AE59" s="49"/>
      <c r="AF59" s="49"/>
      <c r="AG59" s="49"/>
      <c r="AH59" s="49"/>
      <c r="AI59" s="49"/>
      <c r="AJ59" s="49"/>
      <c r="AK59" s="49"/>
      <c r="AL59" s="49"/>
      <c r="AM59" s="49"/>
      <c r="AN59" s="49"/>
      <c r="AO59" s="49"/>
      <c r="AP59" s="49"/>
      <c r="AQ59" s="49">
        <f>AK59+AL59+AM59+AN59+AO59+AP59</f>
        <v>0</v>
      </c>
      <c r="AR59" s="49"/>
      <c r="AS59" s="49">
        <f>AB59-AQ59</f>
        <v>0</v>
      </c>
      <c r="AT59" s="49"/>
      <c r="AU59" s="49"/>
      <c r="AV59" s="49"/>
      <c r="AW59" s="49"/>
      <c r="AX59" s="49"/>
      <c r="AY59" s="49"/>
      <c r="AZ59" s="73">
        <f t="shared" si="17"/>
        <v>0</v>
      </c>
    </row>
    <row r="60" spans="1:52" ht="20.100000000000001" customHeight="1">
      <c r="A60" s="68"/>
      <c r="B60" s="69"/>
      <c r="C60" s="240" t="s">
        <v>186</v>
      </c>
      <c r="D60" s="240"/>
      <c r="E60" s="241"/>
      <c r="F60" s="70"/>
      <c r="G60" s="71"/>
      <c r="H60" s="71"/>
      <c r="I60" s="240" t="s">
        <v>145</v>
      </c>
      <c r="J60" s="240"/>
      <c r="K60" s="241"/>
      <c r="L60" s="49"/>
      <c r="M60" s="49"/>
      <c r="N60" s="49"/>
      <c r="O60" s="49"/>
      <c r="P60" s="49"/>
      <c r="Q60" s="49"/>
      <c r="R60" s="72"/>
      <c r="S60" s="49"/>
      <c r="T60" s="49"/>
      <c r="U60" s="49"/>
      <c r="V60" s="49" t="s">
        <v>187</v>
      </c>
      <c r="W60" s="49"/>
      <c r="X60" s="49"/>
      <c r="Y60" s="49"/>
      <c r="Z60" s="49"/>
      <c r="AA60" s="49"/>
      <c r="AB60" s="49"/>
      <c r="AC60" s="49">
        <f t="shared" si="33"/>
        <v>0</v>
      </c>
      <c r="AD60" s="49"/>
      <c r="AE60" s="49"/>
      <c r="AF60" s="49"/>
      <c r="AG60" s="49"/>
      <c r="AH60" s="49"/>
      <c r="AI60" s="49"/>
      <c r="AJ60" s="49"/>
      <c r="AK60" s="49"/>
      <c r="AL60" s="49"/>
      <c r="AM60" s="49"/>
      <c r="AN60" s="49"/>
      <c r="AO60" s="49"/>
      <c r="AP60" s="49"/>
      <c r="AQ60" s="49">
        <f>AK60+AL60+AM60+AN60+AO60+AP60</f>
        <v>0</v>
      </c>
      <c r="AR60" s="49"/>
      <c r="AS60" s="49">
        <f>AB60-AQ60</f>
        <v>0</v>
      </c>
      <c r="AT60" s="49"/>
      <c r="AU60" s="49"/>
      <c r="AV60" s="49"/>
      <c r="AW60" s="49"/>
      <c r="AX60" s="49"/>
      <c r="AY60" s="49"/>
      <c r="AZ60" s="73">
        <f t="shared" si="17"/>
        <v>0</v>
      </c>
    </row>
    <row r="61" spans="1:52" ht="20.100000000000001" customHeight="1">
      <c r="A61" s="68"/>
      <c r="B61" s="69"/>
      <c r="C61" s="240" t="s">
        <v>188</v>
      </c>
      <c r="D61" s="240"/>
      <c r="E61" s="241"/>
      <c r="F61" s="70"/>
      <c r="G61" s="71"/>
      <c r="H61" s="71"/>
      <c r="I61" s="71"/>
      <c r="J61" s="240" t="s">
        <v>147</v>
      </c>
      <c r="K61" s="241"/>
      <c r="L61" s="49">
        <v>9146000</v>
      </c>
      <c r="M61" s="49">
        <v>3200000</v>
      </c>
      <c r="N61" s="49">
        <v>3196400</v>
      </c>
      <c r="O61" s="49"/>
      <c r="P61" s="49"/>
      <c r="Q61" s="49">
        <f>SUM(N61:P61)</f>
        <v>3196400</v>
      </c>
      <c r="R61" s="72">
        <f t="shared" si="13"/>
        <v>99.887499999999989</v>
      </c>
      <c r="S61" s="49">
        <f>M61-Q61</f>
        <v>3600</v>
      </c>
      <c r="T61" s="49">
        <v>1446000</v>
      </c>
      <c r="U61" s="49">
        <f>T61+M61</f>
        <v>4646000</v>
      </c>
      <c r="V61" s="49">
        <f>T61+S61</f>
        <v>1449600</v>
      </c>
      <c r="W61" s="49"/>
      <c r="X61" s="49"/>
      <c r="Y61" s="49"/>
      <c r="Z61" s="49"/>
      <c r="AA61" s="49">
        <v>4500000</v>
      </c>
      <c r="AB61" s="49">
        <v>9146000</v>
      </c>
      <c r="AC61" s="49">
        <f t="shared" si="33"/>
        <v>0</v>
      </c>
      <c r="AD61" s="49">
        <f>AA61+T61+M61</f>
        <v>9146000</v>
      </c>
      <c r="AE61" s="49"/>
      <c r="AF61" s="49"/>
      <c r="AG61" s="49">
        <v>3245400</v>
      </c>
      <c r="AH61" s="49"/>
      <c r="AI61" s="49"/>
      <c r="AJ61" s="49">
        <f>2344150+360000</f>
        <v>2704150</v>
      </c>
      <c r="AK61" s="49">
        <f>Z61+Y61+X61+W61+N61+AG61+AJ61+AI61+AH61</f>
        <v>9145950</v>
      </c>
      <c r="AL61" s="49">
        <f>AK61/AD61*100</f>
        <v>99.999453312923677</v>
      </c>
      <c r="AM61" s="49"/>
      <c r="AN61" s="49"/>
      <c r="AO61" s="49"/>
      <c r="AP61" s="49"/>
      <c r="AQ61" s="49">
        <f>AK61+AM61+AN61+AO61+AP61</f>
        <v>9145950</v>
      </c>
      <c r="AR61" s="49">
        <f>AQ61/AB61*100</f>
        <v>99.999453312923677</v>
      </c>
      <c r="AS61" s="49">
        <f>AB61-AQ61</f>
        <v>50</v>
      </c>
      <c r="AT61" s="49">
        <v>3091500</v>
      </c>
      <c r="AU61" s="49">
        <f>AT61+U61</f>
        <v>7737500</v>
      </c>
      <c r="AV61" s="49">
        <f>AK61</f>
        <v>9145950</v>
      </c>
      <c r="AW61" s="72">
        <f>AV61/AU61*100</f>
        <v>118.20290791599352</v>
      </c>
      <c r="AX61" s="49">
        <f>AU61-AV61</f>
        <v>-1408450</v>
      </c>
      <c r="AY61" s="49">
        <f>AS61/AB61*100</f>
        <v>5.4668707631751591E-4</v>
      </c>
      <c r="AZ61" s="73">
        <f t="shared" si="17"/>
        <v>9145950</v>
      </c>
    </row>
    <row r="62" spans="1:52" ht="20.100000000000001" customHeight="1">
      <c r="A62" s="68"/>
      <c r="B62" s="69"/>
      <c r="C62" s="240" t="s">
        <v>189</v>
      </c>
      <c r="D62" s="240"/>
      <c r="E62" s="241"/>
      <c r="F62" s="70"/>
      <c r="G62" s="71"/>
      <c r="H62" s="71"/>
      <c r="I62" s="71"/>
      <c r="J62" s="240" t="s">
        <v>149</v>
      </c>
      <c r="K62" s="241"/>
      <c r="L62" s="49">
        <v>510000</v>
      </c>
      <c r="M62" s="49">
        <v>510000</v>
      </c>
      <c r="N62" s="49">
        <v>510000</v>
      </c>
      <c r="O62" s="49"/>
      <c r="P62" s="49"/>
      <c r="Q62" s="49">
        <f>SUM(N62:P62)</f>
        <v>510000</v>
      </c>
      <c r="R62" s="72">
        <f t="shared" si="13"/>
        <v>100</v>
      </c>
      <c r="S62" s="49">
        <f>M62-Q62</f>
        <v>0</v>
      </c>
      <c r="T62" s="49">
        <v>0</v>
      </c>
      <c r="U62" s="49">
        <f>T62+M62</f>
        <v>510000</v>
      </c>
      <c r="V62" s="49">
        <f>T62+S62</f>
        <v>0</v>
      </c>
      <c r="W62" s="49"/>
      <c r="X62" s="49"/>
      <c r="Y62" s="49"/>
      <c r="Z62" s="49"/>
      <c r="AA62" s="49">
        <v>0</v>
      </c>
      <c r="AB62" s="49">
        <v>510000</v>
      </c>
      <c r="AC62" s="49">
        <f t="shared" si="33"/>
        <v>0</v>
      </c>
      <c r="AD62" s="49">
        <f>AA62+T62+M62</f>
        <v>510000</v>
      </c>
      <c r="AE62" s="49"/>
      <c r="AF62" s="49"/>
      <c r="AG62" s="49"/>
      <c r="AH62" s="49"/>
      <c r="AI62" s="49"/>
      <c r="AJ62" s="49"/>
      <c r="AK62" s="49">
        <f>Z62+Y62+X62+W62+N62+AG62+AJ62+AI62+AH62</f>
        <v>510000</v>
      </c>
      <c r="AL62" s="49">
        <f>AK62/AD62*100</f>
        <v>100</v>
      </c>
      <c r="AM62" s="49"/>
      <c r="AN62" s="49"/>
      <c r="AO62" s="49"/>
      <c r="AP62" s="49"/>
      <c r="AQ62" s="49">
        <f>AK62+AM62+AN62+AO62+AP62</f>
        <v>510000</v>
      </c>
      <c r="AR62" s="49">
        <f>AQ62/AB62*100</f>
        <v>100</v>
      </c>
      <c r="AS62" s="49">
        <f>AB62-AQ62</f>
        <v>0</v>
      </c>
      <c r="AT62" s="49">
        <v>3091500</v>
      </c>
      <c r="AU62" s="49">
        <f>AT62+U62</f>
        <v>3601500</v>
      </c>
      <c r="AV62" s="49">
        <f>AK62</f>
        <v>510000</v>
      </c>
      <c r="AW62" s="72">
        <f>AV62/AU62*100</f>
        <v>14.160766347355269</v>
      </c>
      <c r="AX62" s="49">
        <f>AU62-AV62</f>
        <v>3091500</v>
      </c>
      <c r="AY62" s="49">
        <f>AS62/AB62*100</f>
        <v>0</v>
      </c>
      <c r="AZ62" s="73">
        <f t="shared" si="17"/>
        <v>510000</v>
      </c>
    </row>
    <row r="63" spans="1:52" ht="20.100000000000001" customHeight="1">
      <c r="A63" s="68"/>
      <c r="B63" s="69"/>
      <c r="C63" s="240" t="s">
        <v>190</v>
      </c>
      <c r="D63" s="240"/>
      <c r="E63" s="241"/>
      <c r="F63" s="70"/>
      <c r="G63" s="71"/>
      <c r="H63" s="71"/>
      <c r="I63" s="240" t="s">
        <v>151</v>
      </c>
      <c r="J63" s="240"/>
      <c r="K63" s="241"/>
      <c r="L63" s="49"/>
      <c r="M63" s="49"/>
      <c r="N63" s="49"/>
      <c r="O63" s="49"/>
      <c r="P63" s="49"/>
      <c r="Q63" s="49"/>
      <c r="R63" s="72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>
        <f t="shared" si="33"/>
        <v>0</v>
      </c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>
        <f>AK63+AL63+AM63+AN63+AO63+AP63</f>
        <v>0</v>
      </c>
      <c r="AR63" s="49"/>
      <c r="AS63" s="49"/>
      <c r="AT63" s="49"/>
      <c r="AU63" s="49"/>
      <c r="AV63" s="49"/>
      <c r="AW63" s="49"/>
      <c r="AX63" s="49"/>
      <c r="AY63" s="49"/>
      <c r="AZ63" s="73">
        <f t="shared" si="17"/>
        <v>0</v>
      </c>
    </row>
    <row r="64" spans="1:52" ht="20.100000000000001" customHeight="1">
      <c r="A64" s="68"/>
      <c r="B64" s="69"/>
      <c r="C64" s="240" t="s">
        <v>191</v>
      </c>
      <c r="D64" s="240"/>
      <c r="E64" s="241"/>
      <c r="F64" s="70"/>
      <c r="G64" s="71"/>
      <c r="H64" s="71"/>
      <c r="I64" s="71"/>
      <c r="J64" s="240" t="s">
        <v>155</v>
      </c>
      <c r="K64" s="241"/>
      <c r="L64" s="49">
        <v>7000000</v>
      </c>
      <c r="M64" s="49">
        <v>2180000</v>
      </c>
      <c r="N64" s="49">
        <v>1429925</v>
      </c>
      <c r="O64" s="49"/>
      <c r="P64" s="49"/>
      <c r="Q64" s="49">
        <f>SUM(N64:P64)</f>
        <v>1429925</v>
      </c>
      <c r="R64" s="72">
        <f t="shared" si="13"/>
        <v>65.592889908256879</v>
      </c>
      <c r="S64" s="49">
        <f>M64-Q64</f>
        <v>750075</v>
      </c>
      <c r="T64" s="49">
        <v>1800000</v>
      </c>
      <c r="U64" s="49">
        <f>T64+M64</f>
        <v>3980000</v>
      </c>
      <c r="V64" s="49">
        <f>T64+S64</f>
        <v>2550075</v>
      </c>
      <c r="W64" s="49">
        <f>910875+215250</f>
        <v>1126125</v>
      </c>
      <c r="X64" s="49"/>
      <c r="Y64" s="49"/>
      <c r="Z64" s="49"/>
      <c r="AA64" s="49">
        <v>1470000</v>
      </c>
      <c r="AB64" s="49">
        <v>7000000</v>
      </c>
      <c r="AC64" s="49">
        <f t="shared" si="33"/>
        <v>0</v>
      </c>
      <c r="AD64" s="49">
        <f>AA64+T64+M64</f>
        <v>5450000</v>
      </c>
      <c r="AE64" s="49"/>
      <c r="AF64" s="49"/>
      <c r="AG64" s="49">
        <v>1679125</v>
      </c>
      <c r="AH64" s="49"/>
      <c r="AI64" s="49"/>
      <c r="AJ64" s="49"/>
      <c r="AK64" s="49">
        <f>Z64+Y64+X64+W64+N64+AG64+AJ64+AI64+AH64</f>
        <v>4235175</v>
      </c>
      <c r="AL64" s="49">
        <f>AK64/AD64*100</f>
        <v>77.709633027522941</v>
      </c>
      <c r="AM64" s="49"/>
      <c r="AN64" s="49"/>
      <c r="AO64" s="42">
        <v>1848000</v>
      </c>
      <c r="AP64" s="49"/>
      <c r="AQ64" s="49">
        <f>AK64+AM64+AN64+AO64+AP64</f>
        <v>6083175</v>
      </c>
      <c r="AR64" s="49">
        <f>AQ64/AB64*100</f>
        <v>86.902500000000003</v>
      </c>
      <c r="AS64" s="49">
        <f t="shared" ref="AS64:AS69" si="35">AB64-AQ64</f>
        <v>916825</v>
      </c>
      <c r="AT64" s="49">
        <v>3091500</v>
      </c>
      <c r="AU64" s="49">
        <f>AT64+U64</f>
        <v>7071500</v>
      </c>
      <c r="AV64" s="49">
        <f>AK64</f>
        <v>4235175</v>
      </c>
      <c r="AW64" s="72">
        <f>AV64/AU64*100</f>
        <v>59.890758679205256</v>
      </c>
      <c r="AX64" s="49">
        <f>AU64-AV64</f>
        <v>2836325</v>
      </c>
      <c r="AY64" s="49">
        <f>AS64/AB64*100</f>
        <v>13.0975</v>
      </c>
      <c r="AZ64" s="73">
        <f t="shared" si="17"/>
        <v>4235175</v>
      </c>
    </row>
    <row r="65" spans="1:54" ht="20.100000000000001" customHeight="1">
      <c r="A65" s="68"/>
      <c r="B65" s="69"/>
      <c r="C65" s="240" t="s">
        <v>192</v>
      </c>
      <c r="D65" s="240"/>
      <c r="E65" s="241"/>
      <c r="F65" s="70"/>
      <c r="G65" s="71"/>
      <c r="H65" s="71"/>
      <c r="I65" s="240" t="s">
        <v>193</v>
      </c>
      <c r="J65" s="240"/>
      <c r="K65" s="241"/>
      <c r="L65" s="49"/>
      <c r="M65" s="49"/>
      <c r="N65" s="49"/>
      <c r="O65" s="49"/>
      <c r="P65" s="49"/>
      <c r="Q65" s="49"/>
      <c r="R65" s="72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>
        <f t="shared" si="33"/>
        <v>0</v>
      </c>
      <c r="AD65" s="49"/>
      <c r="AE65" s="49"/>
      <c r="AF65" s="49"/>
      <c r="AG65" s="74"/>
      <c r="AH65" s="74"/>
      <c r="AI65" s="74"/>
      <c r="AJ65" s="74"/>
      <c r="AK65" s="49"/>
      <c r="AL65" s="49"/>
      <c r="AM65" s="49"/>
      <c r="AN65" s="49"/>
      <c r="AO65" s="49"/>
      <c r="AP65" s="49"/>
      <c r="AQ65" s="49">
        <f>AK65+AL65+AM65+AN65+AO65+AP65</f>
        <v>0</v>
      </c>
      <c r="AR65" s="49"/>
      <c r="AS65" s="49">
        <f t="shared" si="35"/>
        <v>0</v>
      </c>
      <c r="AT65" s="49"/>
      <c r="AU65" s="49"/>
      <c r="AV65" s="49"/>
      <c r="AW65" s="49"/>
      <c r="AX65" s="49"/>
      <c r="AY65" s="49"/>
      <c r="AZ65" s="73">
        <f t="shared" si="17"/>
        <v>0</v>
      </c>
    </row>
    <row r="66" spans="1:54" ht="20.100000000000001" customHeight="1">
      <c r="A66" s="68"/>
      <c r="B66" s="69"/>
      <c r="C66" s="240" t="s">
        <v>194</v>
      </c>
      <c r="D66" s="240"/>
      <c r="E66" s="241"/>
      <c r="F66" s="70"/>
      <c r="G66" s="71"/>
      <c r="H66" s="71"/>
      <c r="I66" s="71"/>
      <c r="J66" s="240" t="s">
        <v>195</v>
      </c>
      <c r="K66" s="241"/>
      <c r="L66" s="49">
        <v>2500000</v>
      </c>
      <c r="M66" s="49">
        <v>1400000</v>
      </c>
      <c r="N66" s="49">
        <v>1400000</v>
      </c>
      <c r="O66" s="49"/>
      <c r="P66" s="49"/>
      <c r="Q66" s="49">
        <f>SUM(N66:P66)</f>
        <v>1400000</v>
      </c>
      <c r="R66" s="72">
        <f t="shared" si="13"/>
        <v>100</v>
      </c>
      <c r="S66" s="49">
        <f>M66-Q66</f>
        <v>0</v>
      </c>
      <c r="T66" s="49">
        <v>1100000</v>
      </c>
      <c r="U66" s="49">
        <f>T66+M66</f>
        <v>2500000</v>
      </c>
      <c r="V66" s="49">
        <f>T66+S66</f>
        <v>1100000</v>
      </c>
      <c r="W66" s="49"/>
      <c r="X66" s="49"/>
      <c r="Y66" s="49"/>
      <c r="Z66" s="49"/>
      <c r="AA66" s="49">
        <v>0</v>
      </c>
      <c r="AB66" s="49">
        <v>2500000</v>
      </c>
      <c r="AC66" s="49">
        <f t="shared" si="33"/>
        <v>0</v>
      </c>
      <c r="AD66" s="49">
        <f>AA66+T66+M66</f>
        <v>2500000</v>
      </c>
      <c r="AE66" s="49"/>
      <c r="AF66" s="49"/>
      <c r="AG66" s="49"/>
      <c r="AH66" s="49"/>
      <c r="AI66" s="49"/>
      <c r="AJ66" s="49">
        <v>1050000</v>
      </c>
      <c r="AK66" s="49">
        <f>Z66+Y66+X66+W66+N66+AG66+AJ66+AI66+AH66</f>
        <v>2450000</v>
      </c>
      <c r="AL66" s="49">
        <f>AK66/AD66*100</f>
        <v>98</v>
      </c>
      <c r="AM66" s="49"/>
      <c r="AN66" s="49"/>
      <c r="AO66" s="49"/>
      <c r="AP66" s="49"/>
      <c r="AQ66" s="49">
        <f>AK66+AM66+AN66+AO66+AP66</f>
        <v>2450000</v>
      </c>
      <c r="AR66" s="49">
        <f>AQ66/AB66*100</f>
        <v>98</v>
      </c>
      <c r="AS66" s="49">
        <f t="shared" si="35"/>
        <v>50000</v>
      </c>
      <c r="AT66" s="49">
        <v>3091500</v>
      </c>
      <c r="AU66" s="49">
        <f>AT66+U66</f>
        <v>5591500</v>
      </c>
      <c r="AV66" s="49">
        <f>AK66</f>
        <v>2450000</v>
      </c>
      <c r="AW66" s="72">
        <f>AV66/AU66*100</f>
        <v>43.81650719842618</v>
      </c>
      <c r="AX66" s="49">
        <f>AU66-AV66</f>
        <v>3141500</v>
      </c>
      <c r="AY66" s="49">
        <f>AS66/AB66*100</f>
        <v>2</v>
      </c>
      <c r="AZ66" s="73">
        <f t="shared" si="17"/>
        <v>2450000</v>
      </c>
    </row>
    <row r="67" spans="1:54" ht="20.100000000000001" customHeight="1">
      <c r="A67" s="68"/>
      <c r="B67" s="69"/>
      <c r="C67" s="240" t="s">
        <v>196</v>
      </c>
      <c r="D67" s="240"/>
      <c r="E67" s="241"/>
      <c r="F67" s="70"/>
      <c r="G67" s="71"/>
      <c r="H67" s="71"/>
      <c r="I67" s="240" t="s">
        <v>157</v>
      </c>
      <c r="J67" s="240"/>
      <c r="K67" s="241"/>
      <c r="L67" s="49"/>
      <c r="M67" s="49"/>
      <c r="N67" s="49"/>
      <c r="O67" s="49"/>
      <c r="P67" s="49"/>
      <c r="Q67" s="49"/>
      <c r="R67" s="72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>
        <f t="shared" si="33"/>
        <v>0</v>
      </c>
      <c r="AD67" s="49"/>
      <c r="AE67" s="49"/>
      <c r="AF67" s="49"/>
      <c r="AG67" s="49"/>
      <c r="AH67" s="49"/>
      <c r="AI67" s="49"/>
      <c r="AJ67" s="49"/>
      <c r="AK67" s="49"/>
      <c r="AL67" s="49"/>
      <c r="AM67" s="49"/>
      <c r="AN67" s="49"/>
      <c r="AO67" s="49"/>
      <c r="AP67" s="49"/>
      <c r="AQ67" s="49">
        <f>AK67+AL67+AM67+AN67+AO67+AP67</f>
        <v>0</v>
      </c>
      <c r="AR67" s="49"/>
      <c r="AS67" s="49">
        <f t="shared" si="35"/>
        <v>0</v>
      </c>
      <c r="AT67" s="49"/>
      <c r="AU67" s="49"/>
      <c r="AV67" s="49"/>
      <c r="AW67" s="49"/>
      <c r="AX67" s="49"/>
      <c r="AY67" s="49"/>
      <c r="AZ67" s="73">
        <f t="shared" si="17"/>
        <v>0</v>
      </c>
    </row>
    <row r="68" spans="1:54" ht="20.100000000000001" customHeight="1">
      <c r="A68" s="68"/>
      <c r="B68" s="69"/>
      <c r="C68" s="240" t="s">
        <v>197</v>
      </c>
      <c r="D68" s="240"/>
      <c r="E68" s="241"/>
      <c r="F68" s="70"/>
      <c r="G68" s="71"/>
      <c r="H68" s="71"/>
      <c r="I68" s="71"/>
      <c r="J68" s="240" t="s">
        <v>159</v>
      </c>
      <c r="K68" s="241"/>
      <c r="L68" s="49">
        <v>7580000</v>
      </c>
      <c r="M68" s="49">
        <v>2300000</v>
      </c>
      <c r="N68" s="49">
        <v>960000</v>
      </c>
      <c r="O68" s="49"/>
      <c r="P68" s="49"/>
      <c r="Q68" s="49">
        <f>SUM(N68:P68)</f>
        <v>960000</v>
      </c>
      <c r="R68" s="72">
        <f t="shared" si="13"/>
        <v>41.739130434782609</v>
      </c>
      <c r="S68" s="49">
        <f>M68-Q68</f>
        <v>1340000</v>
      </c>
      <c r="T68" s="49">
        <v>1900000</v>
      </c>
      <c r="U68" s="49">
        <f>T68+M68</f>
        <v>4200000</v>
      </c>
      <c r="V68" s="49">
        <f>T68+S68</f>
        <v>3240000</v>
      </c>
      <c r="W68" s="49">
        <v>1070000</v>
      </c>
      <c r="X68" s="49"/>
      <c r="Y68" s="49"/>
      <c r="Z68" s="49"/>
      <c r="AA68" s="49">
        <v>2580000</v>
      </c>
      <c r="AB68" s="49">
        <v>7580000</v>
      </c>
      <c r="AC68" s="49">
        <f t="shared" si="33"/>
        <v>0</v>
      </c>
      <c r="AD68" s="49">
        <f>AA68+T68+M68</f>
        <v>6780000</v>
      </c>
      <c r="AE68" s="49"/>
      <c r="AF68" s="49"/>
      <c r="AG68" s="49">
        <v>960000</v>
      </c>
      <c r="AH68" s="49"/>
      <c r="AI68" s="49"/>
      <c r="AJ68" s="49">
        <v>1020000</v>
      </c>
      <c r="AK68" s="49">
        <f>Z68+Y68+X68+W68+N68+AG68+AJ68+AI68+AH68</f>
        <v>4010000</v>
      </c>
      <c r="AL68" s="49">
        <f>AK68/AD68*100</f>
        <v>59.14454277286135</v>
      </c>
      <c r="AM68" s="49"/>
      <c r="AN68" s="49"/>
      <c r="AO68" s="42">
        <f>480000+640000</f>
        <v>1120000</v>
      </c>
      <c r="AP68" s="49"/>
      <c r="AQ68" s="49">
        <f>AK68+AM68+AN68+AO68+AP68</f>
        <v>5130000</v>
      </c>
      <c r="AR68" s="49">
        <f>AQ68/AB68*100</f>
        <v>67.678100263852244</v>
      </c>
      <c r="AS68" s="49">
        <f t="shared" si="35"/>
        <v>2450000</v>
      </c>
      <c r="AT68" s="49">
        <v>3091500</v>
      </c>
      <c r="AU68" s="49">
        <f>AT68+U68</f>
        <v>7291500</v>
      </c>
      <c r="AV68" s="49">
        <f>AK68</f>
        <v>4010000</v>
      </c>
      <c r="AW68" s="72">
        <f>AV68/AU68*100</f>
        <v>54.995542755262981</v>
      </c>
      <c r="AX68" s="49">
        <f>AU68-AV68</f>
        <v>3281500</v>
      </c>
      <c r="AY68" s="49">
        <f>AS68/AB68*100</f>
        <v>32.321899736147756</v>
      </c>
      <c r="AZ68" s="73">
        <f t="shared" si="17"/>
        <v>4010000</v>
      </c>
    </row>
    <row r="69" spans="1:54" ht="20.100000000000001" customHeight="1">
      <c r="A69" s="62">
        <v>4</v>
      </c>
      <c r="B69" s="63"/>
      <c r="C69" s="242" t="s">
        <v>198</v>
      </c>
      <c r="D69" s="242"/>
      <c r="E69" s="243"/>
      <c r="F69" s="64"/>
      <c r="G69" s="244" t="s">
        <v>199</v>
      </c>
      <c r="H69" s="244"/>
      <c r="I69" s="244"/>
      <c r="J69" s="244"/>
      <c r="K69" s="245"/>
      <c r="L69" s="65">
        <f>SUM(L72:L76)</f>
        <v>120000000</v>
      </c>
      <c r="M69" s="65">
        <f>SUM(M72:M76)</f>
        <v>20876000</v>
      </c>
      <c r="N69" s="65">
        <f>SUM(N72:N76)</f>
        <v>16476715</v>
      </c>
      <c r="O69" s="65">
        <f>SUM(O72:O76)</f>
        <v>0</v>
      </c>
      <c r="P69" s="65">
        <f>SUM(P72:P76)</f>
        <v>0</v>
      </c>
      <c r="Q69" s="65">
        <f>SUM(N69:P69)</f>
        <v>16476715</v>
      </c>
      <c r="R69" s="66">
        <f t="shared" si="13"/>
        <v>78.92659034297759</v>
      </c>
      <c r="S69" s="65">
        <f>M69-Q69</f>
        <v>4399285</v>
      </c>
      <c r="T69" s="65">
        <f>SUM(T72:T76)</f>
        <v>34816000</v>
      </c>
      <c r="U69" s="65">
        <f>T69+M69</f>
        <v>55692000</v>
      </c>
      <c r="V69" s="65">
        <f>T69+S69</f>
        <v>39215285</v>
      </c>
      <c r="W69" s="65">
        <f>SUM(W72:W76)</f>
        <v>0</v>
      </c>
      <c r="X69" s="65">
        <f>SUM(X72:X76)</f>
        <v>34887980</v>
      </c>
      <c r="Y69" s="65">
        <f>SUM(Y72:Y76)</f>
        <v>0</v>
      </c>
      <c r="Z69" s="65"/>
      <c r="AA69" s="65">
        <f>SUM(AA72:AA76)</f>
        <v>49308000</v>
      </c>
      <c r="AB69" s="65">
        <f>SUM(AB72:AB76)</f>
        <v>120000000</v>
      </c>
      <c r="AC69" s="65">
        <f t="shared" si="33"/>
        <v>0</v>
      </c>
      <c r="AD69" s="65">
        <f>AA69+T69+M69</f>
        <v>105000000</v>
      </c>
      <c r="AE69" s="65">
        <f t="shared" ref="AE69:AK69" si="36">SUM(AE72:AE76)</f>
        <v>3462400</v>
      </c>
      <c r="AF69" s="65">
        <f t="shared" si="36"/>
        <v>0</v>
      </c>
      <c r="AG69" s="65">
        <f t="shared" si="36"/>
        <v>889350</v>
      </c>
      <c r="AH69" s="65">
        <f t="shared" si="36"/>
        <v>0</v>
      </c>
      <c r="AI69" s="65">
        <f t="shared" si="36"/>
        <v>0</v>
      </c>
      <c r="AJ69" s="65">
        <f t="shared" si="36"/>
        <v>16145880</v>
      </c>
      <c r="AK69" s="65">
        <f t="shared" si="36"/>
        <v>71862325</v>
      </c>
      <c r="AL69" s="65">
        <f>AK69/AB69*100</f>
        <v>59.885270833333337</v>
      </c>
      <c r="AM69" s="65">
        <f>SUM(AM72:AM76)</f>
        <v>0</v>
      </c>
      <c r="AN69" s="65">
        <f>SUM(AN72:AN76)</f>
        <v>0</v>
      </c>
      <c r="AO69" s="65">
        <f>SUM(AO72:AO76)</f>
        <v>24647400</v>
      </c>
      <c r="AP69" s="65">
        <f>SUM(AP72:AP76)</f>
        <v>0</v>
      </c>
      <c r="AQ69" s="65">
        <f>AK69+AM69+AN69+AO69+AP69</f>
        <v>96509725</v>
      </c>
      <c r="AR69" s="65">
        <f>AQ69/AB69*100</f>
        <v>80.424770833333341</v>
      </c>
      <c r="AS69" s="65">
        <f t="shared" si="35"/>
        <v>23490275</v>
      </c>
      <c r="AT69" s="65">
        <f>SUM(AT72:AT78)</f>
        <v>21640500</v>
      </c>
      <c r="AU69" s="65">
        <f>AT69+U69</f>
        <v>77332500</v>
      </c>
      <c r="AV69" s="65">
        <f>AK69</f>
        <v>71862325</v>
      </c>
      <c r="AW69" s="66">
        <f>AV69/AU69*100</f>
        <v>92.926421620922639</v>
      </c>
      <c r="AX69" s="65">
        <f>AU69-AV69</f>
        <v>5470175</v>
      </c>
      <c r="AY69" s="65">
        <f>AS69/AB69*100</f>
        <v>19.575229166666666</v>
      </c>
      <c r="AZ69" s="67">
        <f t="shared" si="17"/>
        <v>71862325</v>
      </c>
    </row>
    <row r="70" spans="1:54" ht="20.100000000000001" customHeight="1">
      <c r="A70" s="68"/>
      <c r="B70" s="69"/>
      <c r="C70" s="240" t="s">
        <v>200</v>
      </c>
      <c r="D70" s="240"/>
      <c r="E70" s="241"/>
      <c r="F70" s="70"/>
      <c r="G70" s="71"/>
      <c r="H70" s="240" t="s">
        <v>143</v>
      </c>
      <c r="I70" s="240"/>
      <c r="J70" s="240"/>
      <c r="K70" s="241"/>
      <c r="L70" s="49"/>
      <c r="M70" s="49"/>
      <c r="N70" s="49"/>
      <c r="O70" s="49"/>
      <c r="P70" s="49"/>
      <c r="Q70" s="49"/>
      <c r="R70" s="72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>
        <f t="shared" si="33"/>
        <v>0</v>
      </c>
      <c r="AD70" s="49"/>
      <c r="AE70" s="49"/>
      <c r="AF70" s="49"/>
      <c r="AG70" s="49"/>
      <c r="AH70" s="49"/>
      <c r="AI70" s="49"/>
      <c r="AJ70" s="49"/>
      <c r="AK70" s="49"/>
      <c r="AL70" s="49"/>
      <c r="AM70" s="49"/>
      <c r="AN70" s="49"/>
      <c r="AO70" s="49"/>
      <c r="AP70" s="49"/>
      <c r="AQ70" s="49"/>
      <c r="AR70" s="49"/>
      <c r="AS70" s="49"/>
      <c r="AT70" s="49"/>
      <c r="AU70" s="49"/>
      <c r="AV70" s="49"/>
      <c r="AW70" s="49"/>
      <c r="AX70" s="49"/>
      <c r="AY70" s="49"/>
      <c r="AZ70" s="73">
        <f t="shared" si="17"/>
        <v>0</v>
      </c>
    </row>
    <row r="71" spans="1:54" ht="20.100000000000001" customHeight="1">
      <c r="A71" s="68"/>
      <c r="B71" s="69"/>
      <c r="C71" s="240" t="s">
        <v>201</v>
      </c>
      <c r="D71" s="240"/>
      <c r="E71" s="241"/>
      <c r="F71" s="70"/>
      <c r="G71" s="71"/>
      <c r="H71" s="71"/>
      <c r="I71" s="240" t="s">
        <v>145</v>
      </c>
      <c r="J71" s="240"/>
      <c r="K71" s="241"/>
      <c r="L71" s="49"/>
      <c r="M71" s="49"/>
      <c r="N71" s="49"/>
      <c r="O71" s="49"/>
      <c r="P71" s="49"/>
      <c r="Q71" s="49"/>
      <c r="R71" s="72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>
        <f t="shared" si="33"/>
        <v>0</v>
      </c>
      <c r="AD71" s="49"/>
      <c r="AE71" s="49"/>
      <c r="AF71" s="49"/>
      <c r="AG71" s="49" t="s">
        <v>48</v>
      </c>
      <c r="AH71" s="49" t="s">
        <v>48</v>
      </c>
      <c r="AI71" s="49"/>
      <c r="AJ71" s="49"/>
      <c r="AK71" s="49"/>
      <c r="AL71" s="49"/>
      <c r="AM71" s="49"/>
      <c r="AN71" s="49"/>
      <c r="AO71" s="49"/>
      <c r="AP71" s="49"/>
      <c r="AQ71" s="49"/>
      <c r="AR71" s="49"/>
      <c r="AS71" s="49"/>
      <c r="AT71" s="49"/>
      <c r="AU71" s="49"/>
      <c r="AV71" s="49"/>
      <c r="AW71" s="49"/>
      <c r="AX71" s="49"/>
      <c r="AY71" s="49"/>
      <c r="AZ71" s="73">
        <f t="shared" si="17"/>
        <v>0</v>
      </c>
    </row>
    <row r="72" spans="1:54" ht="20.100000000000001" customHeight="1">
      <c r="A72" s="68"/>
      <c r="B72" s="69"/>
      <c r="C72" s="240" t="s">
        <v>202</v>
      </c>
      <c r="D72" s="240"/>
      <c r="E72" s="241"/>
      <c r="F72" s="70"/>
      <c r="G72" s="71"/>
      <c r="H72" s="71"/>
      <c r="I72" s="71"/>
      <c r="J72" s="240" t="s">
        <v>147</v>
      </c>
      <c r="K72" s="241"/>
      <c r="L72" s="49">
        <v>476000</v>
      </c>
      <c r="M72" s="49">
        <v>476000</v>
      </c>
      <c r="N72" s="49">
        <v>475800</v>
      </c>
      <c r="O72" s="49"/>
      <c r="P72" s="49"/>
      <c r="Q72" s="49">
        <f>SUM(N72:P72)</f>
        <v>475800</v>
      </c>
      <c r="R72" s="72">
        <f t="shared" si="13"/>
        <v>99.957983193277315</v>
      </c>
      <c r="S72" s="49">
        <f>M72-Q72</f>
        <v>200</v>
      </c>
      <c r="T72" s="49">
        <v>0</v>
      </c>
      <c r="U72" s="49">
        <f>T72+M72</f>
        <v>476000</v>
      </c>
      <c r="V72" s="49">
        <f>T72+S72</f>
        <v>200</v>
      </c>
      <c r="W72" s="49"/>
      <c r="X72" s="49"/>
      <c r="Y72" s="49"/>
      <c r="Z72" s="49"/>
      <c r="AA72" s="49">
        <v>0</v>
      </c>
      <c r="AB72" s="49">
        <v>476000</v>
      </c>
      <c r="AC72" s="49">
        <f t="shared" si="33"/>
        <v>0</v>
      </c>
      <c r="AD72" s="49">
        <f>AA72+T72+M72</f>
        <v>476000</v>
      </c>
      <c r="AE72" s="49"/>
      <c r="AF72" s="49"/>
      <c r="AG72" s="49"/>
      <c r="AH72" s="49"/>
      <c r="AI72" s="49"/>
      <c r="AJ72" s="49"/>
      <c r="AK72" s="49">
        <f>Z72+Y72+X72+W72+N72+AG72+AJ72+AI72+AH72</f>
        <v>475800</v>
      </c>
      <c r="AL72" s="49">
        <f>AK72/AD72*100</f>
        <v>99.957983193277315</v>
      </c>
      <c r="AM72" s="49"/>
      <c r="AN72" s="49"/>
      <c r="AO72" s="49"/>
      <c r="AP72" s="49"/>
      <c r="AQ72" s="49">
        <f>AK72+AM72+AN72+AO72+AP72</f>
        <v>475800</v>
      </c>
      <c r="AR72" s="49">
        <f>AQ72/AB72*100</f>
        <v>99.957983193277315</v>
      </c>
      <c r="AS72" s="49">
        <f>AB72-AQ72</f>
        <v>200</v>
      </c>
      <c r="AT72" s="49">
        <v>3091500</v>
      </c>
      <c r="AU72" s="49">
        <f>AT72+U72</f>
        <v>3567500</v>
      </c>
      <c r="AV72" s="49">
        <f>AK72</f>
        <v>475800</v>
      </c>
      <c r="AW72" s="72">
        <f>AV72/AU72*100</f>
        <v>13.337070777855642</v>
      </c>
      <c r="AX72" s="49">
        <f>AU72-AV72</f>
        <v>3091700</v>
      </c>
      <c r="AY72" s="49">
        <f>AS72/AB72*100</f>
        <v>4.2016806722689079E-2</v>
      </c>
      <c r="AZ72" s="73">
        <f t="shared" si="17"/>
        <v>475800</v>
      </c>
    </row>
    <row r="73" spans="1:54" ht="20.100000000000001" customHeight="1">
      <c r="A73" s="68"/>
      <c r="B73" s="69"/>
      <c r="C73" s="240" t="s">
        <v>203</v>
      </c>
      <c r="D73" s="240"/>
      <c r="E73" s="241"/>
      <c r="F73" s="70"/>
      <c r="G73" s="71"/>
      <c r="H73" s="71"/>
      <c r="I73" s="240" t="s">
        <v>151</v>
      </c>
      <c r="J73" s="240"/>
      <c r="K73" s="241"/>
      <c r="L73" s="49"/>
      <c r="M73" s="49"/>
      <c r="N73" s="49"/>
      <c r="O73" s="49"/>
      <c r="P73" s="49"/>
      <c r="Q73" s="49"/>
      <c r="R73" s="72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>
        <f t="shared" si="33"/>
        <v>0</v>
      </c>
      <c r="AD73" s="49"/>
      <c r="AE73" s="49"/>
      <c r="AF73" s="49"/>
      <c r="AG73" s="49"/>
      <c r="AH73" s="49"/>
      <c r="AI73" s="49"/>
      <c r="AJ73" s="49"/>
      <c r="AK73" s="49"/>
      <c r="AL73" s="49"/>
      <c r="AM73" s="49"/>
      <c r="AN73" s="49"/>
      <c r="AO73" s="49"/>
      <c r="AP73" s="49"/>
      <c r="AQ73" s="49"/>
      <c r="AR73" s="49"/>
      <c r="AS73" s="49"/>
      <c r="AT73" s="49"/>
      <c r="AU73" s="49"/>
      <c r="AV73" s="49"/>
      <c r="AW73" s="49"/>
      <c r="AX73" s="49"/>
      <c r="AY73" s="49"/>
      <c r="AZ73" s="73">
        <f t="shared" si="17"/>
        <v>0</v>
      </c>
    </row>
    <row r="74" spans="1:54" ht="20.100000000000001" customHeight="1">
      <c r="A74" s="68"/>
      <c r="B74" s="69"/>
      <c r="C74" s="240" t="s">
        <v>204</v>
      </c>
      <c r="D74" s="240"/>
      <c r="E74" s="241"/>
      <c r="F74" s="70"/>
      <c r="G74" s="71"/>
      <c r="H74" s="71"/>
      <c r="I74" s="71"/>
      <c r="J74" s="240" t="s">
        <v>155</v>
      </c>
      <c r="K74" s="241"/>
      <c r="L74" s="49">
        <v>2116000</v>
      </c>
      <c r="M74" s="49">
        <v>400000</v>
      </c>
      <c r="N74" s="49">
        <v>399875</v>
      </c>
      <c r="O74" s="49"/>
      <c r="P74" s="49"/>
      <c r="Q74" s="49">
        <f>SUM(N74:P74)</f>
        <v>399875</v>
      </c>
      <c r="R74" s="72">
        <f t="shared" si="13"/>
        <v>99.96875</v>
      </c>
      <c r="S74" s="49">
        <f>M74-Q74</f>
        <v>125</v>
      </c>
      <c r="T74" s="49">
        <v>816000</v>
      </c>
      <c r="U74" s="49">
        <f>T74+M74</f>
        <v>1216000</v>
      </c>
      <c r="V74" s="49">
        <f>T74+S74</f>
        <v>816125</v>
      </c>
      <c r="W74" s="49"/>
      <c r="X74" s="49"/>
      <c r="Y74" s="49"/>
      <c r="Z74" s="49"/>
      <c r="AA74" s="49">
        <v>900000</v>
      </c>
      <c r="AB74" s="49">
        <v>2116000</v>
      </c>
      <c r="AC74" s="49">
        <f t="shared" si="33"/>
        <v>0</v>
      </c>
      <c r="AD74" s="49">
        <f>AA74+T74+M74</f>
        <v>2116000</v>
      </c>
      <c r="AE74" s="49"/>
      <c r="AF74" s="49"/>
      <c r="AG74" s="49">
        <v>889350</v>
      </c>
      <c r="AH74" s="49"/>
      <c r="AI74" s="49"/>
      <c r="AJ74" s="49">
        <v>826700</v>
      </c>
      <c r="AK74" s="49">
        <f>Z74+Y74+X74+W74+N74+AG74+AJ74+AI74+AH74</f>
        <v>2115925</v>
      </c>
      <c r="AL74" s="49">
        <f>AK74/AD74*100</f>
        <v>99.996455576559555</v>
      </c>
      <c r="AM74" s="49"/>
      <c r="AN74" s="49"/>
      <c r="AO74" s="49"/>
      <c r="AP74" s="49"/>
      <c r="AQ74" s="49">
        <f>AK74+AM74+AN74+AO74+AP74</f>
        <v>2115925</v>
      </c>
      <c r="AR74" s="49">
        <f>AQ74/AB74*100</f>
        <v>99.996455576559555</v>
      </c>
      <c r="AS74" s="49">
        <f t="shared" ref="AS74:AS92" si="37">AB74-AQ74</f>
        <v>75</v>
      </c>
      <c r="AT74" s="49">
        <v>3091500</v>
      </c>
      <c r="AU74" s="49">
        <f>AT74+U74</f>
        <v>4307500</v>
      </c>
      <c r="AV74" s="49">
        <f>AK74</f>
        <v>2115925</v>
      </c>
      <c r="AW74" s="72">
        <f>AV74/AU74*100</f>
        <v>49.121880441091122</v>
      </c>
      <c r="AX74" s="49">
        <f>AU74-AV74</f>
        <v>2191575</v>
      </c>
      <c r="AY74" s="49">
        <f>AS74/AB74*100</f>
        <v>3.5444234404536858E-3</v>
      </c>
      <c r="AZ74" s="73">
        <f t="shared" si="17"/>
        <v>2115925</v>
      </c>
    </row>
    <row r="75" spans="1:54" ht="20.100000000000001" customHeight="1">
      <c r="A75" s="68"/>
      <c r="B75" s="69"/>
      <c r="C75" s="240" t="s">
        <v>205</v>
      </c>
      <c r="D75" s="240"/>
      <c r="E75" s="241"/>
      <c r="F75" s="70"/>
      <c r="G75" s="71"/>
      <c r="H75" s="71"/>
      <c r="I75" s="240" t="s">
        <v>157</v>
      </c>
      <c r="J75" s="240"/>
      <c r="K75" s="241"/>
      <c r="L75" s="49"/>
      <c r="M75" s="49"/>
      <c r="N75" s="49"/>
      <c r="O75" s="49"/>
      <c r="P75" s="49"/>
      <c r="Q75" s="49"/>
      <c r="R75" s="72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>
        <f t="shared" si="33"/>
        <v>0</v>
      </c>
      <c r="AD75" s="49"/>
      <c r="AE75" s="49"/>
      <c r="AF75" s="49"/>
      <c r="AG75" s="49"/>
      <c r="AH75" s="49"/>
      <c r="AI75" s="49"/>
      <c r="AJ75" s="49"/>
      <c r="AK75" s="49"/>
      <c r="AL75" s="49"/>
      <c r="AM75" s="49"/>
      <c r="AN75" s="49"/>
      <c r="AO75" s="49"/>
      <c r="AP75" s="49"/>
      <c r="AQ75" s="49">
        <f>AK75+AL75+AM75+AN75+AO75+AP75</f>
        <v>0</v>
      </c>
      <c r="AR75" s="49"/>
      <c r="AS75" s="49">
        <f t="shared" si="37"/>
        <v>0</v>
      </c>
      <c r="AT75" s="49"/>
      <c r="AU75" s="49"/>
      <c r="AV75" s="49"/>
      <c r="AW75" s="49"/>
      <c r="AX75" s="49"/>
      <c r="AY75" s="49"/>
      <c r="AZ75" s="73">
        <f t="shared" si="17"/>
        <v>0</v>
      </c>
    </row>
    <row r="76" spans="1:54" ht="20.100000000000001" customHeight="1">
      <c r="A76" s="68"/>
      <c r="B76" s="69"/>
      <c r="C76" s="240" t="s">
        <v>206</v>
      </c>
      <c r="D76" s="240"/>
      <c r="E76" s="241"/>
      <c r="F76" s="70"/>
      <c r="G76" s="71"/>
      <c r="H76" s="71"/>
      <c r="I76" s="71"/>
      <c r="J76" s="240" t="s">
        <v>207</v>
      </c>
      <c r="K76" s="241"/>
      <c r="L76" s="49">
        <v>117408000</v>
      </c>
      <c r="M76" s="49">
        <v>20000000</v>
      </c>
      <c r="N76" s="49">
        <f>14202240+1398800</f>
        <v>15601040</v>
      </c>
      <c r="O76" s="49"/>
      <c r="P76" s="49"/>
      <c r="Q76" s="49">
        <f>SUM(N76:P76)</f>
        <v>15601040</v>
      </c>
      <c r="R76" s="72">
        <f t="shared" si="13"/>
        <v>78.005200000000002</v>
      </c>
      <c r="S76" s="49">
        <f>M76-Q76</f>
        <v>4398960</v>
      </c>
      <c r="T76" s="49">
        <v>34000000</v>
      </c>
      <c r="U76" s="49">
        <f>T76+M76</f>
        <v>54000000</v>
      </c>
      <c r="V76" s="49">
        <f>T76+S76</f>
        <v>38398960</v>
      </c>
      <c r="W76" s="49"/>
      <c r="X76" s="49">
        <v>34887980</v>
      </c>
      <c r="Y76" s="49"/>
      <c r="Z76" s="49"/>
      <c r="AA76" s="49">
        <v>48408000</v>
      </c>
      <c r="AB76" s="49">
        <v>117408000</v>
      </c>
      <c r="AC76" s="49">
        <f t="shared" si="33"/>
        <v>0</v>
      </c>
      <c r="AD76" s="49">
        <f>AA76+T76+M76</f>
        <v>102408000</v>
      </c>
      <c r="AE76" s="49">
        <v>3462400</v>
      </c>
      <c r="AF76" s="49">
        <v>0</v>
      </c>
      <c r="AG76" s="49"/>
      <c r="AH76" s="49"/>
      <c r="AI76" s="49"/>
      <c r="AJ76" s="49">
        <f>11369180+3950000</f>
        <v>15319180</v>
      </c>
      <c r="AK76" s="49">
        <f>Z76+Y76+X76+W76+N76+AG76+AJ76+AI76+AH76+3462400</f>
        <v>69270600</v>
      </c>
      <c r="AL76" s="49">
        <f>AK76/AD76*100</f>
        <v>67.641785797984539</v>
      </c>
      <c r="AM76" s="48">
        <v>0</v>
      </c>
      <c r="AN76" s="49"/>
      <c r="AO76" s="42">
        <v>24647400</v>
      </c>
      <c r="AP76" s="49"/>
      <c r="AQ76" s="49">
        <f>AK76+AM76+AN76+AO76+AP76</f>
        <v>93918000</v>
      </c>
      <c r="AR76" s="49">
        <f>AQ76/AB76*100</f>
        <v>79.992845461978746</v>
      </c>
      <c r="AS76" s="49">
        <f t="shared" si="37"/>
        <v>23490000</v>
      </c>
      <c r="AT76" s="49">
        <v>3091500</v>
      </c>
      <c r="AU76" s="49">
        <f>AT76+U76</f>
        <v>57091500</v>
      </c>
      <c r="AV76" s="49">
        <f>AK76</f>
        <v>69270600</v>
      </c>
      <c r="AW76" s="72">
        <f>AV76/AU76*100</f>
        <v>121.33259767215785</v>
      </c>
      <c r="AX76" s="49">
        <f>AU76-AV76</f>
        <v>-12179100</v>
      </c>
      <c r="AY76" s="49">
        <f>AS76/AB76*100</f>
        <v>20.007154538021261</v>
      </c>
      <c r="AZ76" s="73">
        <f t="shared" si="17"/>
        <v>69270600</v>
      </c>
      <c r="BB76" s="29">
        <f>AS76</f>
        <v>23490000</v>
      </c>
    </row>
    <row r="77" spans="1:54" ht="20.100000000000001" customHeight="1">
      <c r="A77" s="62">
        <v>5</v>
      </c>
      <c r="B77" s="63"/>
      <c r="C77" s="242" t="s">
        <v>208</v>
      </c>
      <c r="D77" s="242"/>
      <c r="E77" s="243"/>
      <c r="F77" s="64"/>
      <c r="G77" s="244" t="s">
        <v>209</v>
      </c>
      <c r="H77" s="244"/>
      <c r="I77" s="244"/>
      <c r="J77" s="244"/>
      <c r="K77" s="245"/>
      <c r="L77" s="65">
        <f>SUM(L80:L86)</f>
        <v>70000000</v>
      </c>
      <c r="M77" s="65">
        <f t="shared" ref="M77:T77" si="38">SUM(M80:M86)</f>
        <v>19200000</v>
      </c>
      <c r="N77" s="65">
        <f t="shared" si="38"/>
        <v>8207425</v>
      </c>
      <c r="O77" s="65">
        <f t="shared" si="38"/>
        <v>0</v>
      </c>
      <c r="P77" s="65">
        <f t="shared" si="38"/>
        <v>0</v>
      </c>
      <c r="Q77" s="65">
        <f>SUM(N77:P77)</f>
        <v>8207425</v>
      </c>
      <c r="R77" s="66">
        <f t="shared" si="13"/>
        <v>42.747005208333334</v>
      </c>
      <c r="S77" s="65">
        <f>M77-Q77</f>
        <v>10992575</v>
      </c>
      <c r="T77" s="65">
        <f t="shared" si="38"/>
        <v>22140000</v>
      </c>
      <c r="U77" s="65">
        <f>T77+M77</f>
        <v>41340000</v>
      </c>
      <c r="V77" s="65">
        <f>T77+S77</f>
        <v>33132575</v>
      </c>
      <c r="W77" s="65">
        <f>SUM(W80:W86)</f>
        <v>5487400</v>
      </c>
      <c r="X77" s="65">
        <f>SUM(X80:X86)</f>
        <v>8540000</v>
      </c>
      <c r="Y77" s="65">
        <f>SUM(Y80:Y86)</f>
        <v>0</v>
      </c>
      <c r="Z77" s="65"/>
      <c r="AA77" s="65">
        <v>18847000</v>
      </c>
      <c r="AB77" s="65">
        <f>SUM(AB80:AB86)</f>
        <v>76000000</v>
      </c>
      <c r="AC77" s="65">
        <f t="shared" si="33"/>
        <v>6000000</v>
      </c>
      <c r="AD77" s="65">
        <f>AA77+T77+M77</f>
        <v>60187000</v>
      </c>
      <c r="AE77" s="65">
        <f t="shared" ref="AE77:AK77" si="39">SUM(AE80:AE86)</f>
        <v>5230000</v>
      </c>
      <c r="AF77" s="65">
        <f t="shared" si="39"/>
        <v>0</v>
      </c>
      <c r="AG77" s="65">
        <f t="shared" si="39"/>
        <v>13530775</v>
      </c>
      <c r="AH77" s="65">
        <f t="shared" si="39"/>
        <v>0</v>
      </c>
      <c r="AI77" s="65">
        <f t="shared" si="39"/>
        <v>0</v>
      </c>
      <c r="AJ77" s="65">
        <f t="shared" si="39"/>
        <v>6035250</v>
      </c>
      <c r="AK77" s="65">
        <f t="shared" si="39"/>
        <v>47030850</v>
      </c>
      <c r="AL77" s="65">
        <f>AK77/AB77*100</f>
        <v>61.882697368421056</v>
      </c>
      <c r="AM77" s="65">
        <f>SUM(AM80:AM86)</f>
        <v>0</v>
      </c>
      <c r="AN77" s="65">
        <f>SUM(AN80:AN86)</f>
        <v>0</v>
      </c>
      <c r="AO77" s="42">
        <f>SUM(AO80:AO86)</f>
        <v>6713250</v>
      </c>
      <c r="AP77" s="65">
        <f>SUM(AP80:AP86)</f>
        <v>0</v>
      </c>
      <c r="AQ77" s="65">
        <f>AK77+AM77+AN77+AO77+AP77</f>
        <v>53744100</v>
      </c>
      <c r="AR77" s="65">
        <f>AQ77/AB77*100</f>
        <v>70.715921052631586</v>
      </c>
      <c r="AS77" s="65">
        <f t="shared" si="37"/>
        <v>22255900</v>
      </c>
      <c r="AT77" s="65">
        <f>SUM(AT80:AT86)</f>
        <v>12366000</v>
      </c>
      <c r="AU77" s="65">
        <f>AT77+U77</f>
        <v>53706000</v>
      </c>
      <c r="AV77" s="65">
        <f>AK77</f>
        <v>47030850</v>
      </c>
      <c r="AW77" s="66">
        <f>AV77/AU77*100</f>
        <v>87.570941794212942</v>
      </c>
      <c r="AX77" s="65">
        <f>AU77-AV77</f>
        <v>6675150</v>
      </c>
      <c r="AY77" s="65">
        <f>AS77/AB77*100</f>
        <v>29.284078947368421</v>
      </c>
      <c r="AZ77" s="67">
        <f t="shared" si="17"/>
        <v>47030850</v>
      </c>
    </row>
    <row r="78" spans="1:54" ht="20.100000000000001" customHeight="1">
      <c r="A78" s="68"/>
      <c r="B78" s="69"/>
      <c r="C78" s="240" t="s">
        <v>210</v>
      </c>
      <c r="D78" s="240"/>
      <c r="E78" s="241"/>
      <c r="F78" s="70"/>
      <c r="G78" s="71"/>
      <c r="H78" s="240" t="s">
        <v>143</v>
      </c>
      <c r="I78" s="240"/>
      <c r="J78" s="240"/>
      <c r="K78" s="241"/>
      <c r="L78" s="49"/>
      <c r="M78" s="49"/>
      <c r="N78" s="49"/>
      <c r="O78" s="49"/>
      <c r="P78" s="49"/>
      <c r="Q78" s="49"/>
      <c r="R78" s="72"/>
      <c r="S78" s="49"/>
      <c r="T78" s="49"/>
      <c r="U78" s="49"/>
      <c r="V78" s="49"/>
      <c r="W78" s="49"/>
      <c r="X78" s="49"/>
      <c r="Y78" s="49"/>
      <c r="Z78" s="49"/>
      <c r="AA78" s="49"/>
      <c r="AB78" s="49"/>
      <c r="AC78" s="49">
        <f t="shared" si="33"/>
        <v>0</v>
      </c>
      <c r="AD78" s="49"/>
      <c r="AE78" s="49"/>
      <c r="AF78" s="49"/>
      <c r="AG78" s="49"/>
      <c r="AH78" s="49"/>
      <c r="AI78" s="49"/>
      <c r="AJ78" s="49"/>
      <c r="AK78" s="49"/>
      <c r="AL78" s="49"/>
      <c r="AM78" s="49"/>
      <c r="AN78" s="49"/>
      <c r="AO78" s="49"/>
      <c r="AP78" s="49"/>
      <c r="AQ78" s="49">
        <f>AK78+AL78+AM78+AN78+AO78+AP78</f>
        <v>0</v>
      </c>
      <c r="AR78" s="49"/>
      <c r="AS78" s="49">
        <f t="shared" si="37"/>
        <v>0</v>
      </c>
      <c r="AT78" s="49"/>
      <c r="AU78" s="49"/>
      <c r="AV78" s="49"/>
      <c r="AW78" s="49"/>
      <c r="AX78" s="49"/>
      <c r="AY78" s="49"/>
      <c r="AZ78" s="73">
        <f t="shared" si="17"/>
        <v>0</v>
      </c>
    </row>
    <row r="79" spans="1:54" ht="20.100000000000001" customHeight="1">
      <c r="A79" s="68"/>
      <c r="B79" s="69"/>
      <c r="C79" s="240" t="s">
        <v>211</v>
      </c>
      <c r="D79" s="240"/>
      <c r="E79" s="241"/>
      <c r="F79" s="70"/>
      <c r="G79" s="71"/>
      <c r="H79" s="71"/>
      <c r="I79" s="240" t="s">
        <v>145</v>
      </c>
      <c r="J79" s="240"/>
      <c r="K79" s="241"/>
      <c r="L79" s="49"/>
      <c r="M79" s="49"/>
      <c r="N79" s="49"/>
      <c r="O79" s="49"/>
      <c r="P79" s="49"/>
      <c r="Q79" s="49"/>
      <c r="R79" s="72"/>
      <c r="S79" s="49"/>
      <c r="T79" s="49"/>
      <c r="U79" s="49"/>
      <c r="V79" s="49"/>
      <c r="W79" s="49"/>
      <c r="X79" s="49"/>
      <c r="Y79" s="49"/>
      <c r="Z79" s="49"/>
      <c r="AA79" s="49"/>
      <c r="AB79" s="49"/>
      <c r="AC79" s="49">
        <f t="shared" si="33"/>
        <v>0</v>
      </c>
      <c r="AD79" s="49"/>
      <c r="AE79" s="49"/>
      <c r="AF79" s="49"/>
      <c r="AG79" s="49"/>
      <c r="AH79" s="49"/>
      <c r="AI79" s="49"/>
      <c r="AJ79" s="49"/>
      <c r="AK79" s="49"/>
      <c r="AL79" s="49"/>
      <c r="AM79" s="49"/>
      <c r="AN79" s="49"/>
      <c r="AO79" s="49"/>
      <c r="AP79" s="49"/>
      <c r="AQ79" s="49">
        <f>AK79+AL79+AM79+AN79+AO79+AP79</f>
        <v>0</v>
      </c>
      <c r="AR79" s="49"/>
      <c r="AS79" s="49">
        <f t="shared" si="37"/>
        <v>0</v>
      </c>
      <c r="AT79" s="49"/>
      <c r="AU79" s="49"/>
      <c r="AV79" s="49"/>
      <c r="AW79" s="49"/>
      <c r="AX79" s="49"/>
      <c r="AY79" s="49"/>
      <c r="AZ79" s="73">
        <f t="shared" si="17"/>
        <v>0</v>
      </c>
    </row>
    <row r="80" spans="1:54" ht="20.100000000000001" customHeight="1">
      <c r="A80" s="68"/>
      <c r="B80" s="69"/>
      <c r="C80" s="240" t="s">
        <v>212</v>
      </c>
      <c r="D80" s="240"/>
      <c r="E80" s="241"/>
      <c r="F80" s="70"/>
      <c r="G80" s="71"/>
      <c r="H80" s="71"/>
      <c r="I80" s="71"/>
      <c r="J80" s="240" t="s">
        <v>147</v>
      </c>
      <c r="K80" s="241"/>
      <c r="L80" s="49">
        <v>3847000</v>
      </c>
      <c r="M80" s="49">
        <v>1500000</v>
      </c>
      <c r="N80" s="49">
        <v>1500000</v>
      </c>
      <c r="O80" s="49"/>
      <c r="P80" s="49"/>
      <c r="Q80" s="49">
        <f>SUM(N80:P80)</f>
        <v>1500000</v>
      </c>
      <c r="R80" s="72">
        <f t="shared" si="13"/>
        <v>100</v>
      </c>
      <c r="S80" s="49">
        <f>M80-Q80</f>
        <v>0</v>
      </c>
      <c r="T80" s="49">
        <v>1500000</v>
      </c>
      <c r="U80" s="49">
        <f>T80+M80</f>
        <v>3000000</v>
      </c>
      <c r="V80" s="49">
        <f>T80+S80</f>
        <v>1500000</v>
      </c>
      <c r="W80" s="49"/>
      <c r="X80" s="49"/>
      <c r="Y80" s="49"/>
      <c r="Z80" s="49"/>
      <c r="AA80" s="49">
        <v>847000</v>
      </c>
      <c r="AB80" s="49">
        <v>3847000</v>
      </c>
      <c r="AC80" s="49">
        <f t="shared" si="33"/>
        <v>0</v>
      </c>
      <c r="AD80" s="49">
        <f>AA80+T80+M80</f>
        <v>3847000</v>
      </c>
      <c r="AE80" s="49"/>
      <c r="AF80" s="49"/>
      <c r="AG80" s="49">
        <v>1490800</v>
      </c>
      <c r="AH80" s="49"/>
      <c r="AI80" s="49"/>
      <c r="AJ80" s="49">
        <v>855300</v>
      </c>
      <c r="AK80" s="49">
        <f>Z80+Y80+X80+W80+N80+AG80+AJ80+AI80+AH80</f>
        <v>3846100</v>
      </c>
      <c r="AL80" s="49">
        <f>AK80/AD80*100</f>
        <v>99.976605146867698</v>
      </c>
      <c r="AM80" s="49"/>
      <c r="AN80" s="49"/>
      <c r="AO80" s="49"/>
      <c r="AP80" s="49"/>
      <c r="AQ80" s="49">
        <f>AK80+AM80+AN80+AO80+AP80</f>
        <v>3846100</v>
      </c>
      <c r="AR80" s="49">
        <f>AQ80/AB80*100</f>
        <v>99.976605146867698</v>
      </c>
      <c r="AS80" s="49">
        <f t="shared" si="37"/>
        <v>900</v>
      </c>
      <c r="AT80" s="49">
        <v>3091500</v>
      </c>
      <c r="AU80" s="49">
        <f>AT80+U80</f>
        <v>6091500</v>
      </c>
      <c r="AV80" s="49">
        <f>AK80</f>
        <v>3846100</v>
      </c>
      <c r="AW80" s="72">
        <f>AV80/AU80*100</f>
        <v>63.138799967167373</v>
      </c>
      <c r="AX80" s="49">
        <f>AU80-AV80</f>
        <v>2245400</v>
      </c>
      <c r="AY80" s="49">
        <f>AS80/AB80*100</f>
        <v>2.3394853132310892E-2</v>
      </c>
      <c r="AZ80" s="73">
        <f t="shared" si="17"/>
        <v>3846100</v>
      </c>
    </row>
    <row r="81" spans="1:54" ht="20.100000000000001" customHeight="1">
      <c r="A81" s="68"/>
      <c r="B81" s="69"/>
      <c r="C81" s="240" t="s">
        <v>213</v>
      </c>
      <c r="D81" s="240"/>
      <c r="E81" s="241"/>
      <c r="F81" s="70"/>
      <c r="G81" s="71"/>
      <c r="H81" s="71"/>
      <c r="I81" s="240" t="s">
        <v>151</v>
      </c>
      <c r="J81" s="240"/>
      <c r="K81" s="241"/>
      <c r="L81" s="49"/>
      <c r="M81" s="49"/>
      <c r="N81" s="49"/>
      <c r="O81" s="49"/>
      <c r="P81" s="49"/>
      <c r="Q81" s="49"/>
      <c r="R81" s="72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>
        <f t="shared" si="33"/>
        <v>0</v>
      </c>
      <c r="AD81" s="49"/>
      <c r="AE81" s="49"/>
      <c r="AF81" s="49"/>
      <c r="AG81" s="49"/>
      <c r="AH81" s="49"/>
      <c r="AI81" s="49"/>
      <c r="AJ81" s="49"/>
      <c r="AK81" s="49"/>
      <c r="AL81" s="49"/>
      <c r="AM81" s="49"/>
      <c r="AN81" s="49"/>
      <c r="AO81" s="49"/>
      <c r="AP81" s="49"/>
      <c r="AQ81" s="49">
        <f>AK81+AL81+AM81+AN81+AO81+AP81</f>
        <v>0</v>
      </c>
      <c r="AR81" s="49"/>
      <c r="AS81" s="49">
        <f t="shared" si="37"/>
        <v>0</v>
      </c>
      <c r="AT81" s="49"/>
      <c r="AU81" s="49"/>
      <c r="AV81" s="49"/>
      <c r="AW81" s="49"/>
      <c r="AX81" s="49"/>
      <c r="AY81" s="49"/>
      <c r="AZ81" s="73">
        <f t="shared" si="17"/>
        <v>0</v>
      </c>
    </row>
    <row r="82" spans="1:54" ht="20.100000000000001" customHeight="1">
      <c r="A82" s="68"/>
      <c r="B82" s="69"/>
      <c r="C82" s="240" t="s">
        <v>214</v>
      </c>
      <c r="D82" s="240"/>
      <c r="E82" s="241"/>
      <c r="F82" s="70"/>
      <c r="G82" s="71"/>
      <c r="H82" s="71"/>
      <c r="I82" s="71"/>
      <c r="J82" s="240" t="s">
        <v>155</v>
      </c>
      <c r="K82" s="241"/>
      <c r="L82" s="49">
        <v>6713000</v>
      </c>
      <c r="M82" s="49">
        <v>2500000</v>
      </c>
      <c r="N82" s="49">
        <v>1499925</v>
      </c>
      <c r="O82" s="49"/>
      <c r="P82" s="49"/>
      <c r="Q82" s="49">
        <f>SUM(N82:P82)</f>
        <v>1499925</v>
      </c>
      <c r="R82" s="72">
        <f t="shared" si="13"/>
        <v>59.997</v>
      </c>
      <c r="S82" s="49">
        <f>M82-Q82</f>
        <v>1000075</v>
      </c>
      <c r="T82" s="49">
        <v>1500000</v>
      </c>
      <c r="U82" s="49">
        <f>T82+M82</f>
        <v>4000000</v>
      </c>
      <c r="V82" s="49">
        <f>T82+S82</f>
        <v>2500075</v>
      </c>
      <c r="W82" s="49">
        <v>1999900</v>
      </c>
      <c r="X82" s="49"/>
      <c r="Y82" s="49"/>
      <c r="Z82" s="49"/>
      <c r="AA82" s="49">
        <v>1000000</v>
      </c>
      <c r="AB82" s="49">
        <v>6838000</v>
      </c>
      <c r="AC82" s="49">
        <f t="shared" si="33"/>
        <v>125000</v>
      </c>
      <c r="AD82" s="49">
        <f>AA82+T82+M82</f>
        <v>5000000</v>
      </c>
      <c r="AE82" s="49"/>
      <c r="AF82" s="49"/>
      <c r="AG82" s="49">
        <v>499975</v>
      </c>
      <c r="AH82" s="49"/>
      <c r="AI82" s="49"/>
      <c r="AJ82" s="49">
        <v>999950</v>
      </c>
      <c r="AK82" s="49">
        <f>Z82+Y82+X82+W82+N82+AG82+AJ82+AI82+AH82</f>
        <v>4999750</v>
      </c>
      <c r="AL82" s="49">
        <f>AK82/AD82*100</f>
        <v>99.995000000000005</v>
      </c>
      <c r="AM82" s="49"/>
      <c r="AN82" s="49"/>
      <c r="AO82" s="42">
        <v>1713250</v>
      </c>
      <c r="AP82" s="49"/>
      <c r="AQ82" s="49">
        <f>AK82+AM82+AN82+AO82+AP82</f>
        <v>6713000</v>
      </c>
      <c r="AR82" s="49">
        <f>AQ82/AB82*100</f>
        <v>98.171980111143611</v>
      </c>
      <c r="AS82" s="49">
        <f t="shared" si="37"/>
        <v>125000</v>
      </c>
      <c r="AT82" s="49">
        <v>3091500</v>
      </c>
      <c r="AU82" s="49">
        <f>AT82+U82</f>
        <v>7091500</v>
      </c>
      <c r="AV82" s="49">
        <f>AK82</f>
        <v>4999750</v>
      </c>
      <c r="AW82" s="72">
        <f>AV82/AU82*100</f>
        <v>70.50341958682931</v>
      </c>
      <c r="AX82" s="49">
        <f>AU82-AV82</f>
        <v>2091750</v>
      </c>
      <c r="AY82" s="49">
        <f>AS82/AB82*100</f>
        <v>1.8280198888563908</v>
      </c>
      <c r="AZ82" s="73">
        <f t="shared" si="17"/>
        <v>4999750</v>
      </c>
    </row>
    <row r="83" spans="1:54" ht="20.100000000000001" customHeight="1">
      <c r="A83" s="68"/>
      <c r="B83" s="69"/>
      <c r="C83" s="240" t="s">
        <v>215</v>
      </c>
      <c r="D83" s="240"/>
      <c r="E83" s="241"/>
      <c r="F83" s="70"/>
      <c r="G83" s="71"/>
      <c r="H83" s="71"/>
      <c r="I83" s="240" t="s">
        <v>193</v>
      </c>
      <c r="J83" s="240"/>
      <c r="K83" s="241"/>
      <c r="L83" s="49"/>
      <c r="M83" s="49"/>
      <c r="N83" s="49"/>
      <c r="O83" s="49"/>
      <c r="P83" s="49"/>
      <c r="Q83" s="49"/>
      <c r="R83" s="72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>
        <f t="shared" si="33"/>
        <v>0</v>
      </c>
      <c r="AD83" s="49"/>
      <c r="AE83" s="49"/>
      <c r="AF83" s="49"/>
      <c r="AG83" s="49"/>
      <c r="AH83" s="49"/>
      <c r="AI83" s="49"/>
      <c r="AJ83" s="49"/>
      <c r="AK83" s="49"/>
      <c r="AL83" s="49"/>
      <c r="AM83" s="49"/>
      <c r="AN83" s="49"/>
      <c r="AO83" s="49"/>
      <c r="AP83" s="49"/>
      <c r="AQ83" s="49">
        <f>AK83+AL83+AM83+AN83+AO83+AP83</f>
        <v>0</v>
      </c>
      <c r="AR83" s="49"/>
      <c r="AS83" s="49">
        <f t="shared" si="37"/>
        <v>0</v>
      </c>
      <c r="AT83" s="49"/>
      <c r="AU83" s="49"/>
      <c r="AV83" s="49"/>
      <c r="AW83" s="49"/>
      <c r="AX83" s="49"/>
      <c r="AY83" s="49"/>
      <c r="AZ83" s="73">
        <f t="shared" si="17"/>
        <v>0</v>
      </c>
    </row>
    <row r="84" spans="1:54" ht="20.100000000000001" customHeight="1">
      <c r="A84" s="68"/>
      <c r="B84" s="69"/>
      <c r="C84" s="240" t="s">
        <v>216</v>
      </c>
      <c r="D84" s="240"/>
      <c r="E84" s="241"/>
      <c r="F84" s="70"/>
      <c r="G84" s="71"/>
      <c r="H84" s="71"/>
      <c r="I84" s="71"/>
      <c r="J84" s="240" t="s">
        <v>195</v>
      </c>
      <c r="K84" s="241"/>
      <c r="L84" s="49">
        <v>15000000</v>
      </c>
      <c r="M84" s="49">
        <v>4200000</v>
      </c>
      <c r="N84" s="49">
        <v>2937500</v>
      </c>
      <c r="O84" s="49"/>
      <c r="P84" s="49"/>
      <c r="Q84" s="49">
        <f>SUM(N84:P84)</f>
        <v>2937500</v>
      </c>
      <c r="R84" s="72">
        <f t="shared" si="13"/>
        <v>69.94047619047619</v>
      </c>
      <c r="S84" s="49">
        <f>M84-Q84</f>
        <v>1262500</v>
      </c>
      <c r="T84" s="49">
        <v>5800000</v>
      </c>
      <c r="U84" s="49">
        <f>T84+M84</f>
        <v>10000000</v>
      </c>
      <c r="V84" s="49">
        <f>T84+S84</f>
        <v>7062500</v>
      </c>
      <c r="W84" s="49">
        <f>875000+2612500</f>
        <v>3487500</v>
      </c>
      <c r="X84" s="49"/>
      <c r="Y84" s="49"/>
      <c r="Z84" s="49"/>
      <c r="AA84" s="49">
        <v>3000000</v>
      </c>
      <c r="AB84" s="49">
        <v>20875000</v>
      </c>
      <c r="AC84" s="49">
        <f t="shared" si="33"/>
        <v>5875000</v>
      </c>
      <c r="AD84" s="49">
        <f>AA84+T84+M84</f>
        <v>13000000</v>
      </c>
      <c r="AE84" s="49"/>
      <c r="AF84" s="49"/>
      <c r="AG84" s="49">
        <f>3575000+2835000</f>
        <v>6410000</v>
      </c>
      <c r="AH84" s="49"/>
      <c r="AI84" s="49"/>
      <c r="AJ84" s="49"/>
      <c r="AK84" s="49">
        <f>Z84+Y84+X84+W84+N84+AG84+AJ84+AI84+AH84</f>
        <v>12835000</v>
      </c>
      <c r="AL84" s="49">
        <f>AK84/AD84*100</f>
        <v>98.730769230769226</v>
      </c>
      <c r="AM84" s="49"/>
      <c r="AN84" s="49"/>
      <c r="AO84" s="42">
        <v>5000000</v>
      </c>
      <c r="AP84" s="49"/>
      <c r="AQ84" s="49">
        <f>AK84+AM84+AN84+AO84+AP84</f>
        <v>17835000</v>
      </c>
      <c r="AR84" s="49">
        <f>AQ84/AB84*100</f>
        <v>85.437125748502993</v>
      </c>
      <c r="AS84" s="49">
        <f t="shared" si="37"/>
        <v>3040000</v>
      </c>
      <c r="AT84" s="49">
        <v>3091500</v>
      </c>
      <c r="AU84" s="49">
        <f>AT84+U84</f>
        <v>13091500</v>
      </c>
      <c r="AV84" s="49">
        <f>AK84</f>
        <v>12835000</v>
      </c>
      <c r="AW84" s="72">
        <f>AV84/AU84*100</f>
        <v>98.040713440018337</v>
      </c>
      <c r="AX84" s="49">
        <f>AU84-AV84</f>
        <v>256500</v>
      </c>
      <c r="AY84" s="49">
        <f>AS84/AB84*100</f>
        <v>14.562874251497007</v>
      </c>
      <c r="AZ84" s="73">
        <f t="shared" si="17"/>
        <v>12835000</v>
      </c>
    </row>
    <row r="85" spans="1:54" ht="20.100000000000001" customHeight="1">
      <c r="A85" s="68"/>
      <c r="B85" s="69"/>
      <c r="C85" s="240" t="s">
        <v>217</v>
      </c>
      <c r="D85" s="240"/>
      <c r="E85" s="241"/>
      <c r="F85" s="70"/>
      <c r="G85" s="71"/>
      <c r="H85" s="71"/>
      <c r="I85" s="240" t="s">
        <v>157</v>
      </c>
      <c r="J85" s="240"/>
      <c r="K85" s="241"/>
      <c r="L85" s="49"/>
      <c r="M85" s="49"/>
      <c r="N85" s="49"/>
      <c r="O85" s="49"/>
      <c r="P85" s="49"/>
      <c r="Q85" s="49"/>
      <c r="R85" s="72"/>
      <c r="S85" s="49"/>
      <c r="T85" s="49"/>
      <c r="U85" s="49"/>
      <c r="V85" s="49"/>
      <c r="W85" s="49"/>
      <c r="X85" s="49"/>
      <c r="Y85" s="49"/>
      <c r="Z85" s="49"/>
      <c r="AA85" s="49"/>
      <c r="AB85" s="49"/>
      <c r="AC85" s="49">
        <f t="shared" si="33"/>
        <v>0</v>
      </c>
      <c r="AD85" s="49"/>
      <c r="AE85" s="49"/>
      <c r="AF85" s="49"/>
      <c r="AG85" s="49"/>
      <c r="AH85" s="49"/>
      <c r="AI85" s="49"/>
      <c r="AJ85" s="49"/>
      <c r="AK85" s="49"/>
      <c r="AL85" s="49"/>
      <c r="AM85" s="49"/>
      <c r="AN85" s="49"/>
      <c r="AO85" s="49"/>
      <c r="AP85" s="49"/>
      <c r="AQ85" s="49">
        <f>AK85+AL85+AM85+AN85+AO85+AP85</f>
        <v>0</v>
      </c>
      <c r="AR85" s="49"/>
      <c r="AS85" s="49">
        <f t="shared" si="37"/>
        <v>0</v>
      </c>
      <c r="AT85" s="49"/>
      <c r="AU85" s="49"/>
      <c r="AV85" s="49"/>
      <c r="AW85" s="49"/>
      <c r="AX85" s="49"/>
      <c r="AY85" s="49"/>
      <c r="AZ85" s="73">
        <f t="shared" si="17"/>
        <v>0</v>
      </c>
    </row>
    <row r="86" spans="1:54" ht="20.100000000000001" customHeight="1">
      <c r="A86" s="68"/>
      <c r="B86" s="69"/>
      <c r="C86" s="240" t="s">
        <v>218</v>
      </c>
      <c r="D86" s="240"/>
      <c r="E86" s="241"/>
      <c r="F86" s="70"/>
      <c r="G86" s="71"/>
      <c r="H86" s="71"/>
      <c r="I86" s="71"/>
      <c r="J86" s="240" t="s">
        <v>159</v>
      </c>
      <c r="K86" s="241"/>
      <c r="L86" s="49">
        <v>44440000</v>
      </c>
      <c r="M86" s="49">
        <v>11000000</v>
      </c>
      <c r="N86" s="49">
        <v>2270000</v>
      </c>
      <c r="O86" s="49"/>
      <c r="P86" s="49"/>
      <c r="Q86" s="49">
        <f>SUM(N86:P86)</f>
        <v>2270000</v>
      </c>
      <c r="R86" s="72">
        <f t="shared" si="13"/>
        <v>20.636363636363637</v>
      </c>
      <c r="S86" s="49">
        <f>M86-Q86</f>
        <v>8730000</v>
      </c>
      <c r="T86" s="49">
        <v>13340000</v>
      </c>
      <c r="U86" s="49">
        <f>T86+M86</f>
        <v>24340000</v>
      </c>
      <c r="V86" s="49">
        <f>T86+S86</f>
        <v>22070000</v>
      </c>
      <c r="W86" s="49"/>
      <c r="X86" s="49">
        <v>8540000</v>
      </c>
      <c r="Y86" s="49"/>
      <c r="Z86" s="49"/>
      <c r="AA86" s="49">
        <v>14000000</v>
      </c>
      <c r="AB86" s="49">
        <v>44440000</v>
      </c>
      <c r="AC86" s="49">
        <f t="shared" si="33"/>
        <v>0</v>
      </c>
      <c r="AD86" s="49">
        <f>AA86+T86+M86</f>
        <v>38340000</v>
      </c>
      <c r="AE86" s="49">
        <v>5230000</v>
      </c>
      <c r="AF86" s="49">
        <v>0</v>
      </c>
      <c r="AG86" s="49">
        <v>5130000</v>
      </c>
      <c r="AH86" s="49"/>
      <c r="AI86" s="49"/>
      <c r="AJ86" s="49">
        <v>4180000</v>
      </c>
      <c r="AK86" s="49">
        <f>Z86+Y86+X86+W86+N86+AG86+AJ86+AI86+AH86+5230000</f>
        <v>25350000</v>
      </c>
      <c r="AL86" s="49">
        <f>AK86/AD86*100</f>
        <v>66.118935837245701</v>
      </c>
      <c r="AM86" s="48">
        <v>0</v>
      </c>
      <c r="AN86" s="49"/>
      <c r="AO86" s="49"/>
      <c r="AP86" s="49"/>
      <c r="AQ86" s="49">
        <f>AK86+AM86+AN86+AO86+AP86</f>
        <v>25350000</v>
      </c>
      <c r="AR86" s="49">
        <f>AQ86/AB86*100</f>
        <v>57.043204320432039</v>
      </c>
      <c r="AS86" s="49">
        <f t="shared" si="37"/>
        <v>19090000</v>
      </c>
      <c r="AT86" s="49">
        <v>3091500</v>
      </c>
      <c r="AU86" s="49">
        <f>AT86+U86</f>
        <v>27431500</v>
      </c>
      <c r="AV86" s="49">
        <f>AK86</f>
        <v>25350000</v>
      </c>
      <c r="AW86" s="72">
        <f>AV86/AU86*100</f>
        <v>92.412008092885912</v>
      </c>
      <c r="AX86" s="49">
        <f>AU86-AV86</f>
        <v>2081500</v>
      </c>
      <c r="AY86" s="49">
        <f>AS86/AB86*100</f>
        <v>42.956795679567954</v>
      </c>
      <c r="AZ86" s="73">
        <f t="shared" si="17"/>
        <v>25350000</v>
      </c>
      <c r="BB86" s="29">
        <f>AS86</f>
        <v>19090000</v>
      </c>
    </row>
    <row r="87" spans="1:54" ht="20.100000000000001" customHeight="1">
      <c r="A87" s="60" t="s">
        <v>219</v>
      </c>
      <c r="B87" s="75"/>
      <c r="C87" s="247" t="s">
        <v>220</v>
      </c>
      <c r="D87" s="247"/>
      <c r="E87" s="248"/>
      <c r="F87" s="249" t="s">
        <v>221</v>
      </c>
      <c r="G87" s="250"/>
      <c r="H87" s="250"/>
      <c r="I87" s="250"/>
      <c r="J87" s="250"/>
      <c r="K87" s="251"/>
      <c r="L87" s="48">
        <f>L88+L102+L110+L114+L118</f>
        <v>782990000</v>
      </c>
      <c r="M87" s="48">
        <f t="shared" ref="M87:T87" si="40">M88+M102+M110+M114+M118</f>
        <v>152965500</v>
      </c>
      <c r="N87" s="48">
        <f t="shared" si="40"/>
        <v>75620400</v>
      </c>
      <c r="O87" s="48">
        <f t="shared" si="40"/>
        <v>0</v>
      </c>
      <c r="P87" s="48">
        <f t="shared" si="40"/>
        <v>0</v>
      </c>
      <c r="Q87" s="48">
        <f>SUM(N87:P87)</f>
        <v>75620400</v>
      </c>
      <c r="R87" s="61">
        <f t="shared" si="13"/>
        <v>49.436245427890604</v>
      </c>
      <c r="S87" s="48">
        <f>M87-Q87</f>
        <v>77345100</v>
      </c>
      <c r="T87" s="48">
        <f t="shared" si="40"/>
        <v>152720500</v>
      </c>
      <c r="U87" s="48">
        <f>T87+M87</f>
        <v>305686000</v>
      </c>
      <c r="V87" s="48">
        <f>T87+S87</f>
        <v>230065600</v>
      </c>
      <c r="W87" s="48">
        <f>W88+W102+W110+W114+W118</f>
        <v>76068150</v>
      </c>
      <c r="X87" s="48">
        <f>X88+X102+X110+X114+X118</f>
        <v>9735000</v>
      </c>
      <c r="Y87" s="48">
        <f>Y88+Y102+Y110+Y114+Y118</f>
        <v>0</v>
      </c>
      <c r="Z87" s="48"/>
      <c r="AA87" s="48">
        <v>348681000</v>
      </c>
      <c r="AB87" s="48">
        <f>AB88+AB102+AB110+AB114+AB118</f>
        <v>740856000</v>
      </c>
      <c r="AC87" s="48">
        <f t="shared" si="33"/>
        <v>-42134000</v>
      </c>
      <c r="AD87" s="48">
        <f>AA87+T87+M87</f>
        <v>654367000</v>
      </c>
      <c r="AE87" s="48">
        <f t="shared" ref="AE87:AK87" si="41">AE88+AE102+AE110+AE114+AE118</f>
        <v>21300000</v>
      </c>
      <c r="AF87" s="48">
        <f t="shared" si="41"/>
        <v>0</v>
      </c>
      <c r="AG87" s="48">
        <f t="shared" si="41"/>
        <v>76975100</v>
      </c>
      <c r="AH87" s="48">
        <f t="shared" si="41"/>
        <v>0</v>
      </c>
      <c r="AI87" s="48">
        <f t="shared" si="41"/>
        <v>0</v>
      </c>
      <c r="AJ87" s="48">
        <f t="shared" si="41"/>
        <v>59687000</v>
      </c>
      <c r="AK87" s="48">
        <f t="shared" si="41"/>
        <v>319385650</v>
      </c>
      <c r="AL87" s="48">
        <f>AK87/AB87*100</f>
        <v>43.11035477879642</v>
      </c>
      <c r="AM87" s="48">
        <f>AM88+AM102+AM110+AM114+AM118</f>
        <v>182561000</v>
      </c>
      <c r="AN87" s="48">
        <f>AN88+AN102+AN110+AN114+AN118</f>
        <v>0</v>
      </c>
      <c r="AO87" s="48">
        <f>AO88+AO102+AO110+AO114+AO118</f>
        <v>63573550</v>
      </c>
      <c r="AP87" s="48">
        <f>AP88+AP102+AP110+AP114+AP118</f>
        <v>0</v>
      </c>
      <c r="AQ87" s="48">
        <f>AK87+AM87+AN87+AO87+AP87</f>
        <v>565520200</v>
      </c>
      <c r="AR87" s="48">
        <f>AQ87/AB87*100</f>
        <v>76.33334953081301</v>
      </c>
      <c r="AS87" s="48">
        <f t="shared" si="37"/>
        <v>175335800</v>
      </c>
      <c r="AT87" s="48">
        <v>120767500</v>
      </c>
      <c r="AU87" s="48">
        <f>AT87+U87</f>
        <v>426453500</v>
      </c>
      <c r="AV87" s="48">
        <f>AK87</f>
        <v>319385650</v>
      </c>
      <c r="AW87" s="61">
        <f>AV87/AU87*100</f>
        <v>74.893429178093271</v>
      </c>
      <c r="AX87" s="48">
        <f>AU87-AV87</f>
        <v>107067850</v>
      </c>
      <c r="AY87" s="48">
        <f>AS87/AB87*100</f>
        <v>23.666650469186994</v>
      </c>
      <c r="AZ87" s="73">
        <f t="shared" si="17"/>
        <v>501946650</v>
      </c>
    </row>
    <row r="88" spans="1:54" ht="20.100000000000001" customHeight="1">
      <c r="A88" s="62">
        <v>6</v>
      </c>
      <c r="B88" s="63"/>
      <c r="C88" s="242" t="s">
        <v>222</v>
      </c>
      <c r="D88" s="242"/>
      <c r="E88" s="243"/>
      <c r="F88" s="64"/>
      <c r="G88" s="244" t="s">
        <v>3</v>
      </c>
      <c r="H88" s="244"/>
      <c r="I88" s="244"/>
      <c r="J88" s="244"/>
      <c r="K88" s="245"/>
      <c r="L88" s="65">
        <f>SUM(L91:L101)</f>
        <v>165840000</v>
      </c>
      <c r="M88" s="65">
        <f>SUM(M91:M101)</f>
        <v>39311500</v>
      </c>
      <c r="N88" s="65">
        <f>SUM(N91:N101)</f>
        <v>26303500</v>
      </c>
      <c r="O88" s="65">
        <f>SUM(O91:O101)</f>
        <v>0</v>
      </c>
      <c r="P88" s="65">
        <f>SUM(P91:P101)</f>
        <v>0</v>
      </c>
      <c r="Q88" s="65">
        <f>SUM(N88:P88)</f>
        <v>26303500</v>
      </c>
      <c r="R88" s="66">
        <f t="shared" si="13"/>
        <v>66.910446052681777</v>
      </c>
      <c r="S88" s="65">
        <f>M88-Q88</f>
        <v>13008000</v>
      </c>
      <c r="T88" s="65">
        <f>SUM(T91:T101)</f>
        <v>39631500</v>
      </c>
      <c r="U88" s="65">
        <f>T88+M88</f>
        <v>78943000</v>
      </c>
      <c r="V88" s="65">
        <f>T88+S88</f>
        <v>52639500</v>
      </c>
      <c r="W88" s="65">
        <f>SUM(W91:W101)</f>
        <v>23075000</v>
      </c>
      <c r="X88" s="65">
        <f>SUM(X91:X101)</f>
        <v>0</v>
      </c>
      <c r="Y88" s="65">
        <f>SUM(Y91:Y101)</f>
        <v>0</v>
      </c>
      <c r="Z88" s="65"/>
      <c r="AA88" s="65">
        <f>SUM(AA91:AA101)</f>
        <v>47271500</v>
      </c>
      <c r="AB88" s="65">
        <f>SUM(AB91:AB101)</f>
        <v>166200000</v>
      </c>
      <c r="AC88" s="65">
        <f t="shared" si="33"/>
        <v>360000</v>
      </c>
      <c r="AD88" s="65">
        <f>AA88+T88+M88</f>
        <v>126214500</v>
      </c>
      <c r="AE88" s="65">
        <f t="shared" ref="AE88:AK88" si="42">SUM(AE91:AE101)</f>
        <v>21300000</v>
      </c>
      <c r="AF88" s="65">
        <f t="shared" si="42"/>
        <v>0</v>
      </c>
      <c r="AG88" s="65">
        <f t="shared" si="42"/>
        <v>18544800</v>
      </c>
      <c r="AH88" s="65">
        <f t="shared" si="42"/>
        <v>0</v>
      </c>
      <c r="AI88" s="65">
        <f t="shared" si="42"/>
        <v>0</v>
      </c>
      <c r="AJ88" s="65">
        <f t="shared" si="42"/>
        <v>34204850</v>
      </c>
      <c r="AK88" s="65">
        <f t="shared" si="42"/>
        <v>123428150</v>
      </c>
      <c r="AL88" s="65">
        <f>AK88/AB88*100</f>
        <v>74.264831528279188</v>
      </c>
      <c r="AM88" s="65">
        <f>SUM(AM91:AM101)</f>
        <v>0</v>
      </c>
      <c r="AN88" s="65">
        <f>SUM(AN91:AN101)</f>
        <v>0</v>
      </c>
      <c r="AO88" s="42">
        <f>SUM(AO91:AO101)</f>
        <v>16628300</v>
      </c>
      <c r="AP88" s="65">
        <f>SUM(AP91:AP101)</f>
        <v>0</v>
      </c>
      <c r="AQ88" s="65">
        <f>AK88+AM88+AN88+AO88+AP88</f>
        <v>140056450</v>
      </c>
      <c r="AR88" s="65">
        <f>AQ88/AB88*100</f>
        <v>84.269825511432003</v>
      </c>
      <c r="AS88" s="65">
        <f t="shared" si="37"/>
        <v>26143550</v>
      </c>
      <c r="AT88" s="65">
        <f>SUM(AT91:AT97)</f>
        <v>15457500</v>
      </c>
      <c r="AU88" s="65">
        <f>AT88+U88</f>
        <v>94400500</v>
      </c>
      <c r="AV88" s="65">
        <f>AK88</f>
        <v>123428150</v>
      </c>
      <c r="AW88" s="66">
        <f>AV88/AU88*100</f>
        <v>130.74946636935186</v>
      </c>
      <c r="AX88" s="65">
        <f>AU88-AV88</f>
        <v>-29027650</v>
      </c>
      <c r="AY88" s="65">
        <f>AS88/AB88*100</f>
        <v>15.730174488567991</v>
      </c>
      <c r="AZ88" s="67">
        <f t="shared" si="17"/>
        <v>123428150</v>
      </c>
    </row>
    <row r="89" spans="1:54" ht="20.100000000000001" customHeight="1">
      <c r="A89" s="68"/>
      <c r="B89" s="69"/>
      <c r="C89" s="240" t="s">
        <v>223</v>
      </c>
      <c r="D89" s="240"/>
      <c r="E89" s="241"/>
      <c r="F89" s="70"/>
      <c r="G89" s="71"/>
      <c r="H89" s="240" t="s">
        <v>143</v>
      </c>
      <c r="I89" s="240"/>
      <c r="J89" s="240"/>
      <c r="K89" s="241"/>
      <c r="L89" s="49"/>
      <c r="M89" s="49"/>
      <c r="N89" s="49"/>
      <c r="O89" s="49"/>
      <c r="P89" s="49"/>
      <c r="Q89" s="49"/>
      <c r="R89" s="72"/>
      <c r="S89" s="49"/>
      <c r="T89" s="49"/>
      <c r="U89" s="49"/>
      <c r="V89" s="49"/>
      <c r="W89" s="49"/>
      <c r="X89" s="49"/>
      <c r="Y89" s="49"/>
      <c r="Z89" s="49"/>
      <c r="AA89" s="49"/>
      <c r="AB89" s="49"/>
      <c r="AC89" s="49">
        <f t="shared" si="33"/>
        <v>0</v>
      </c>
      <c r="AD89" s="49"/>
      <c r="AE89" s="49"/>
      <c r="AF89" s="49"/>
      <c r="AG89" s="49"/>
      <c r="AH89" s="49"/>
      <c r="AI89" s="49"/>
      <c r="AJ89" s="49"/>
      <c r="AK89" s="49"/>
      <c r="AL89" s="49"/>
      <c r="AM89" s="49"/>
      <c r="AN89" s="49"/>
      <c r="AO89" s="49"/>
      <c r="AP89" s="49"/>
      <c r="AQ89" s="49">
        <f>AK89+AL89+AM89+AN89+AO89+AP89</f>
        <v>0</v>
      </c>
      <c r="AR89" s="49"/>
      <c r="AS89" s="49">
        <f t="shared" si="37"/>
        <v>0</v>
      </c>
      <c r="AT89" s="49"/>
      <c r="AU89" s="49"/>
      <c r="AV89" s="49"/>
      <c r="AW89" s="49"/>
      <c r="AX89" s="49"/>
      <c r="AY89" s="49"/>
      <c r="AZ89" s="73">
        <f t="shared" si="17"/>
        <v>0</v>
      </c>
    </row>
    <row r="90" spans="1:54" ht="20.100000000000001" customHeight="1">
      <c r="A90" s="68"/>
      <c r="B90" s="69"/>
      <c r="C90" s="240" t="s">
        <v>224</v>
      </c>
      <c r="D90" s="240"/>
      <c r="E90" s="241"/>
      <c r="F90" s="70"/>
      <c r="G90" s="71"/>
      <c r="H90" s="71"/>
      <c r="I90" s="240" t="s">
        <v>145</v>
      </c>
      <c r="J90" s="240"/>
      <c r="K90" s="241"/>
      <c r="L90" s="49"/>
      <c r="M90" s="49"/>
      <c r="N90" s="49"/>
      <c r="O90" s="49"/>
      <c r="P90" s="49"/>
      <c r="Q90" s="49"/>
      <c r="R90" s="72"/>
      <c r="S90" s="49"/>
      <c r="T90" s="49"/>
      <c r="U90" s="49"/>
      <c r="V90" s="49"/>
      <c r="W90" s="49"/>
      <c r="X90" s="49"/>
      <c r="Y90" s="49"/>
      <c r="Z90" s="49"/>
      <c r="AA90" s="49"/>
      <c r="AB90" s="49"/>
      <c r="AC90" s="49">
        <f t="shared" si="33"/>
        <v>0</v>
      </c>
      <c r="AD90" s="49"/>
      <c r="AE90" s="49"/>
      <c r="AF90" s="49"/>
      <c r="AG90" s="49"/>
      <c r="AH90" s="49"/>
      <c r="AI90" s="49"/>
      <c r="AJ90" s="49"/>
      <c r="AK90" s="49"/>
      <c r="AL90" s="49"/>
      <c r="AM90" s="49"/>
      <c r="AN90" s="49"/>
      <c r="AO90" s="49"/>
      <c r="AP90" s="49"/>
      <c r="AQ90" s="49">
        <f>AK90+AL90+AM90+AN90+AO90+AP90</f>
        <v>0</v>
      </c>
      <c r="AR90" s="49"/>
      <c r="AS90" s="49">
        <f t="shared" si="37"/>
        <v>0</v>
      </c>
      <c r="AT90" s="49"/>
      <c r="AU90" s="49"/>
      <c r="AV90" s="49"/>
      <c r="AW90" s="49"/>
      <c r="AX90" s="49"/>
      <c r="AY90" s="49"/>
      <c r="AZ90" s="73">
        <f t="shared" si="17"/>
        <v>0</v>
      </c>
    </row>
    <row r="91" spans="1:54" ht="20.100000000000001" customHeight="1">
      <c r="A91" s="68"/>
      <c r="B91" s="69"/>
      <c r="C91" s="240" t="s">
        <v>225</v>
      </c>
      <c r="D91" s="240"/>
      <c r="E91" s="241"/>
      <c r="F91" s="70"/>
      <c r="G91" s="71"/>
      <c r="H91" s="71"/>
      <c r="I91" s="71"/>
      <c r="J91" s="240" t="s">
        <v>226</v>
      </c>
      <c r="K91" s="241"/>
      <c r="L91" s="49">
        <v>6488000</v>
      </c>
      <c r="M91" s="49">
        <v>1622000</v>
      </c>
      <c r="N91" s="49">
        <v>1622000</v>
      </c>
      <c r="O91" s="49"/>
      <c r="P91" s="49"/>
      <c r="Q91" s="49">
        <f>SUM(N91:P91)</f>
        <v>1622000</v>
      </c>
      <c r="R91" s="72">
        <f t="shared" si="13"/>
        <v>100</v>
      </c>
      <c r="S91" s="49">
        <f>M91-Q91</f>
        <v>0</v>
      </c>
      <c r="T91" s="49">
        <v>1622000</v>
      </c>
      <c r="U91" s="49">
        <f>T91+M91</f>
        <v>3244000</v>
      </c>
      <c r="V91" s="49">
        <f>T91+S91</f>
        <v>1622000</v>
      </c>
      <c r="W91" s="49"/>
      <c r="X91" s="49"/>
      <c r="Y91" s="49"/>
      <c r="Z91" s="49"/>
      <c r="AA91" s="49">
        <v>1622000</v>
      </c>
      <c r="AB91" s="49">
        <v>6488000</v>
      </c>
      <c r="AC91" s="49">
        <f t="shared" si="33"/>
        <v>0</v>
      </c>
      <c r="AD91" s="49">
        <f>AA91+T91+M91</f>
        <v>4866000</v>
      </c>
      <c r="AE91" s="49"/>
      <c r="AF91" s="49"/>
      <c r="AG91" s="49">
        <v>1622000</v>
      </c>
      <c r="AH91" s="49"/>
      <c r="AI91" s="49"/>
      <c r="AJ91" s="49">
        <v>1619500</v>
      </c>
      <c r="AK91" s="49">
        <f>Z91+Y91+X91+W91+N91+AG91+AJ91+AI91+AH91</f>
        <v>4863500</v>
      </c>
      <c r="AL91" s="49">
        <f>AK91/AD91*100</f>
        <v>99.948623099054672</v>
      </c>
      <c r="AM91" s="49"/>
      <c r="AN91" s="49"/>
      <c r="AO91" s="42">
        <v>1624500</v>
      </c>
      <c r="AP91" s="49"/>
      <c r="AQ91" s="49">
        <f>AK91+AM91+AN91+AO91+AP91</f>
        <v>6488000</v>
      </c>
      <c r="AR91" s="49">
        <f>AQ91/AB91*100</f>
        <v>100</v>
      </c>
      <c r="AS91" s="49">
        <f t="shared" si="37"/>
        <v>0</v>
      </c>
      <c r="AT91" s="49">
        <v>3091500</v>
      </c>
      <c r="AU91" s="49">
        <f>AT91+U91</f>
        <v>6335500</v>
      </c>
      <c r="AV91" s="49">
        <f>AK91</f>
        <v>4863500</v>
      </c>
      <c r="AW91" s="72">
        <f>AV91/AU91*100</f>
        <v>76.765843264146469</v>
      </c>
      <c r="AX91" s="49">
        <f>AU91-AV91</f>
        <v>1472000</v>
      </c>
      <c r="AY91" s="49">
        <f>AS91/AB91*100</f>
        <v>0</v>
      </c>
      <c r="AZ91" s="73">
        <f t="shared" si="17"/>
        <v>4863500</v>
      </c>
    </row>
    <row r="92" spans="1:54" ht="20.100000000000001" customHeight="1">
      <c r="A92" s="68"/>
      <c r="B92" s="69"/>
      <c r="C92" s="240" t="s">
        <v>227</v>
      </c>
      <c r="D92" s="240"/>
      <c r="E92" s="241"/>
      <c r="F92" s="70"/>
      <c r="G92" s="71"/>
      <c r="H92" s="71"/>
      <c r="I92" s="71"/>
      <c r="J92" s="240" t="s">
        <v>228</v>
      </c>
      <c r="K92" s="241"/>
      <c r="L92" s="49">
        <v>12742000</v>
      </c>
      <c r="M92" s="49">
        <v>3185500</v>
      </c>
      <c r="N92" s="49">
        <v>3185500</v>
      </c>
      <c r="O92" s="49"/>
      <c r="P92" s="49"/>
      <c r="Q92" s="49">
        <f>SUM(N92:P92)</f>
        <v>3185500</v>
      </c>
      <c r="R92" s="72">
        <f t="shared" si="13"/>
        <v>100</v>
      </c>
      <c r="S92" s="49">
        <f>M92-Q92</f>
        <v>0</v>
      </c>
      <c r="T92" s="49">
        <v>3185500</v>
      </c>
      <c r="U92" s="49">
        <f>T92+M92</f>
        <v>6371000</v>
      </c>
      <c r="V92" s="49">
        <f>T92+S92</f>
        <v>3185500</v>
      </c>
      <c r="W92" s="49"/>
      <c r="X92" s="49"/>
      <c r="Y92" s="49"/>
      <c r="Z92" s="49"/>
      <c r="AA92" s="49">
        <v>3185500</v>
      </c>
      <c r="AB92" s="49">
        <v>12742000</v>
      </c>
      <c r="AC92" s="49">
        <f t="shared" si="33"/>
        <v>0</v>
      </c>
      <c r="AD92" s="49">
        <f>AA92+T92+M92</f>
        <v>9556500</v>
      </c>
      <c r="AE92" s="49"/>
      <c r="AF92" s="49"/>
      <c r="AG92" s="49">
        <f>3181300+1440000</f>
        <v>4621300</v>
      </c>
      <c r="AH92" s="49"/>
      <c r="AI92" s="49"/>
      <c r="AJ92" s="49">
        <v>1746800</v>
      </c>
      <c r="AK92" s="49">
        <f>Z92+Y92+X92+W92+N92+AG92+AJ92+AI92+AH92</f>
        <v>9553600</v>
      </c>
      <c r="AL92" s="49">
        <f>AK92/AD92*100</f>
        <v>99.969654162088631</v>
      </c>
      <c r="AM92" s="49"/>
      <c r="AN92" s="49"/>
      <c r="AO92" s="42">
        <f>2576900+610900</f>
        <v>3187800</v>
      </c>
      <c r="AP92" s="49"/>
      <c r="AQ92" s="49">
        <f>AK92+AM92+AN92+AO92+AP92</f>
        <v>12741400</v>
      </c>
      <c r="AR92" s="49">
        <f>AQ92/AB92*100</f>
        <v>99.995291163082726</v>
      </c>
      <c r="AS92" s="49">
        <f t="shared" si="37"/>
        <v>600</v>
      </c>
      <c r="AT92" s="49">
        <v>3091500</v>
      </c>
      <c r="AU92" s="49">
        <f>AT92+U92</f>
        <v>9462500</v>
      </c>
      <c r="AV92" s="49">
        <f>AK92</f>
        <v>9553600</v>
      </c>
      <c r="AW92" s="72">
        <f>AV92/AU92*100</f>
        <v>100.96274768824307</v>
      </c>
      <c r="AX92" s="49">
        <f>AU92-AV92</f>
        <v>-91100</v>
      </c>
      <c r="AY92" s="49">
        <f>AS92/AB92*100</f>
        <v>4.7088369172814315E-3</v>
      </c>
      <c r="AZ92" s="73">
        <f t="shared" si="17"/>
        <v>9553600</v>
      </c>
    </row>
    <row r="93" spans="1:54" ht="20.100000000000001" customHeight="1">
      <c r="A93" s="68"/>
      <c r="B93" s="69"/>
      <c r="C93" s="240" t="s">
        <v>229</v>
      </c>
      <c r="D93" s="240"/>
      <c r="E93" s="241"/>
      <c r="F93" s="70"/>
      <c r="G93" s="71"/>
      <c r="H93" s="71"/>
      <c r="I93" s="240" t="s">
        <v>163</v>
      </c>
      <c r="J93" s="240"/>
      <c r="K93" s="241"/>
      <c r="L93" s="49"/>
      <c r="M93" s="49"/>
      <c r="N93" s="49"/>
      <c r="O93" s="49"/>
      <c r="P93" s="49"/>
      <c r="Q93" s="49"/>
      <c r="R93" s="72"/>
      <c r="S93" s="49"/>
      <c r="T93" s="49"/>
      <c r="U93" s="49"/>
      <c r="V93" s="49"/>
      <c r="W93" s="49"/>
      <c r="X93" s="49"/>
      <c r="Y93" s="49"/>
      <c r="Z93" s="49"/>
      <c r="AA93" s="49"/>
      <c r="AB93" s="49"/>
      <c r="AC93" s="49">
        <f t="shared" si="33"/>
        <v>0</v>
      </c>
      <c r="AD93" s="49"/>
      <c r="AE93" s="49"/>
      <c r="AF93" s="49"/>
      <c r="AG93" s="49"/>
      <c r="AH93" s="49"/>
      <c r="AI93" s="49"/>
      <c r="AJ93" s="49"/>
      <c r="AK93" s="49"/>
      <c r="AL93" s="49"/>
      <c r="AM93" s="49"/>
      <c r="AN93" s="49"/>
      <c r="AO93" s="49"/>
      <c r="AP93" s="49"/>
      <c r="AQ93" s="49"/>
      <c r="AR93" s="49"/>
      <c r="AS93" s="49"/>
      <c r="AT93" s="49"/>
      <c r="AU93" s="49"/>
      <c r="AV93" s="49"/>
      <c r="AW93" s="49"/>
      <c r="AX93" s="49"/>
      <c r="AY93" s="49"/>
      <c r="AZ93" s="73">
        <f t="shared" si="17"/>
        <v>0</v>
      </c>
    </row>
    <row r="94" spans="1:54" ht="20.100000000000001" customHeight="1">
      <c r="A94" s="68"/>
      <c r="B94" s="69"/>
      <c r="C94" s="240" t="s">
        <v>230</v>
      </c>
      <c r="D94" s="240"/>
      <c r="E94" s="241"/>
      <c r="F94" s="70"/>
      <c r="G94" s="71"/>
      <c r="H94" s="71"/>
      <c r="I94" s="71"/>
      <c r="J94" s="240" t="s">
        <v>231</v>
      </c>
      <c r="K94" s="241"/>
      <c r="L94" s="49">
        <v>133000000</v>
      </c>
      <c r="M94" s="49">
        <v>33280000</v>
      </c>
      <c r="N94" s="49">
        <f>8300000+13100000</f>
        <v>21400000</v>
      </c>
      <c r="O94" s="49"/>
      <c r="P94" s="49"/>
      <c r="Q94" s="49">
        <f>SUM(N94:P94)</f>
        <v>21400000</v>
      </c>
      <c r="R94" s="72">
        <f t="shared" si="13"/>
        <v>64.302884615384613</v>
      </c>
      <c r="S94" s="49">
        <f>M94-Q94</f>
        <v>11880000</v>
      </c>
      <c r="T94" s="49">
        <v>33240000</v>
      </c>
      <c r="U94" s="49">
        <f>T94+M94</f>
        <v>66520000</v>
      </c>
      <c r="V94" s="49">
        <f>T94+S94</f>
        <v>45120000</v>
      </c>
      <c r="W94" s="49">
        <f>8500000+13300000</f>
        <v>21800000</v>
      </c>
      <c r="X94" s="49"/>
      <c r="Y94" s="49"/>
      <c r="Z94" s="49"/>
      <c r="AA94" s="49">
        <v>33240000</v>
      </c>
      <c r="AB94" s="49">
        <v>133000000</v>
      </c>
      <c r="AC94" s="49">
        <f t="shared" si="33"/>
        <v>0</v>
      </c>
      <c r="AD94" s="49">
        <f>AA94+T94+M94</f>
        <v>99760000</v>
      </c>
      <c r="AE94" s="49">
        <v>21300000</v>
      </c>
      <c r="AF94" s="49">
        <v>0</v>
      </c>
      <c r="AG94" s="49">
        <f>4400000+7000000</f>
        <v>11400000</v>
      </c>
      <c r="AH94" s="49"/>
      <c r="AI94" s="49"/>
      <c r="AJ94" s="49">
        <f>4400000+6700000+4200000+6600000</f>
        <v>21900000</v>
      </c>
      <c r="AK94" s="49">
        <f>Z94+Y94+X94+W94+N94+AG94+AJ94+AI94+AH94+21300000</f>
        <v>97800000</v>
      </c>
      <c r="AL94" s="49">
        <f>AK94/AD94*100</f>
        <v>98.03528468323978</v>
      </c>
      <c r="AM94" s="49"/>
      <c r="AN94" s="49"/>
      <c r="AO94" s="42">
        <f>4450000+7150000</f>
        <v>11600000</v>
      </c>
      <c r="AP94" s="49"/>
      <c r="AQ94" s="49">
        <f>AK94+AM94+AN94+AO94+AP94</f>
        <v>109400000</v>
      </c>
      <c r="AR94" s="49">
        <f>AQ94/AB94*100</f>
        <v>82.255639097744364</v>
      </c>
      <c r="AS94" s="49">
        <f>AB94-AQ94</f>
        <v>23600000</v>
      </c>
      <c r="AT94" s="49">
        <v>3091500</v>
      </c>
      <c r="AU94" s="49">
        <f>AT94+U94</f>
        <v>69611500</v>
      </c>
      <c r="AV94" s="49">
        <f>AK94</f>
        <v>97800000</v>
      </c>
      <c r="AW94" s="72">
        <f>AV94/AU94*100</f>
        <v>140.49402756728415</v>
      </c>
      <c r="AX94" s="49">
        <f>AU94-AV94</f>
        <v>-28188500</v>
      </c>
      <c r="AY94" s="49">
        <f>AS94/AB94*100</f>
        <v>17.744360902255639</v>
      </c>
      <c r="AZ94" s="73">
        <f t="shared" si="17"/>
        <v>97800000</v>
      </c>
    </row>
    <row r="95" spans="1:54" ht="20.100000000000001" customHeight="1">
      <c r="A95" s="68"/>
      <c r="B95" s="69"/>
      <c r="C95" s="240" t="s">
        <v>232</v>
      </c>
      <c r="D95" s="240"/>
      <c r="E95" s="241"/>
      <c r="F95" s="70"/>
      <c r="G95" s="71"/>
      <c r="H95" s="71"/>
      <c r="I95" s="240" t="s">
        <v>233</v>
      </c>
      <c r="J95" s="240"/>
      <c r="K95" s="241"/>
      <c r="L95" s="49"/>
      <c r="M95" s="49"/>
      <c r="N95" s="49"/>
      <c r="O95" s="49"/>
      <c r="P95" s="49"/>
      <c r="Q95" s="49"/>
      <c r="R95" s="72"/>
      <c r="S95" s="49"/>
      <c r="T95" s="49"/>
      <c r="U95" s="49"/>
      <c r="V95" s="49"/>
      <c r="W95" s="49"/>
      <c r="X95" s="49"/>
      <c r="Y95" s="49"/>
      <c r="Z95" s="49"/>
      <c r="AA95" s="49"/>
      <c r="AB95" s="49"/>
      <c r="AC95" s="49">
        <f t="shared" si="33"/>
        <v>0</v>
      </c>
      <c r="AD95" s="49"/>
      <c r="AE95" s="49"/>
      <c r="AF95" s="49"/>
      <c r="AG95" s="49"/>
      <c r="AH95" s="49"/>
      <c r="AI95" s="49"/>
      <c r="AJ95" s="49"/>
      <c r="AK95" s="49"/>
      <c r="AL95" s="49"/>
      <c r="AM95" s="49"/>
      <c r="AN95" s="49"/>
      <c r="AO95" s="49"/>
      <c r="AP95" s="49"/>
      <c r="AQ95" s="49"/>
      <c r="AR95" s="49"/>
      <c r="AS95" s="49"/>
      <c r="AT95" s="49"/>
      <c r="AU95" s="49"/>
      <c r="AV95" s="49"/>
      <c r="AW95" s="49"/>
      <c r="AX95" s="49"/>
      <c r="AY95" s="49"/>
      <c r="AZ95" s="73">
        <f t="shared" si="17"/>
        <v>0</v>
      </c>
    </row>
    <row r="96" spans="1:54" ht="20.100000000000001" customHeight="1">
      <c r="A96" s="68"/>
      <c r="B96" s="69"/>
      <c r="C96" s="240" t="s">
        <v>234</v>
      </c>
      <c r="D96" s="240"/>
      <c r="E96" s="241"/>
      <c r="F96" s="70"/>
      <c r="G96" s="71"/>
      <c r="H96" s="71"/>
      <c r="I96" s="71"/>
      <c r="J96" s="240" t="s">
        <v>235</v>
      </c>
      <c r="K96" s="241"/>
      <c r="L96" s="49">
        <v>720000</v>
      </c>
      <c r="M96" s="49">
        <v>0</v>
      </c>
      <c r="N96" s="49"/>
      <c r="O96" s="49"/>
      <c r="P96" s="49"/>
      <c r="Q96" s="49">
        <f>SUM(N96:P96)</f>
        <v>0</v>
      </c>
      <c r="R96" s="72"/>
      <c r="S96" s="49">
        <f>M96-Q96</f>
        <v>0</v>
      </c>
      <c r="T96" s="49">
        <v>360000</v>
      </c>
      <c r="U96" s="49">
        <f>T96+M96</f>
        <v>360000</v>
      </c>
      <c r="V96" s="49">
        <f>T96+S96</f>
        <v>360000</v>
      </c>
      <c r="W96" s="49"/>
      <c r="X96" s="49"/>
      <c r="Y96" s="49"/>
      <c r="Z96" s="49"/>
      <c r="AA96" s="49">
        <v>0</v>
      </c>
      <c r="AB96" s="49">
        <v>720000</v>
      </c>
      <c r="AC96" s="49">
        <f t="shared" si="33"/>
        <v>0</v>
      </c>
      <c r="AD96" s="49">
        <f>AA96+T96+M96</f>
        <v>360000</v>
      </c>
      <c r="AE96" s="49"/>
      <c r="AF96" s="49"/>
      <c r="AG96" s="49"/>
      <c r="AH96" s="49"/>
      <c r="AI96" s="49"/>
      <c r="AJ96" s="49">
        <f>120000+240000</f>
        <v>360000</v>
      </c>
      <c r="AK96" s="49">
        <f>Z96+Y96+X96+W96+N96+AG96+AJ96+AI96+AH96</f>
        <v>360000</v>
      </c>
      <c r="AL96" s="49">
        <f>AK96/AD96*100</f>
        <v>100</v>
      </c>
      <c r="AM96" s="49"/>
      <c r="AN96" s="49"/>
      <c r="AO96" s="49"/>
      <c r="AP96" s="49"/>
      <c r="AQ96" s="49">
        <f>AK96+AM96+AN96+AO96+AP96</f>
        <v>360000</v>
      </c>
      <c r="AR96" s="49">
        <f>AQ96/AB96*100</f>
        <v>50</v>
      </c>
      <c r="AS96" s="49">
        <f>AB96-AQ96</f>
        <v>360000</v>
      </c>
      <c r="AT96" s="49">
        <v>3091500</v>
      </c>
      <c r="AU96" s="49">
        <f>AT96+U96</f>
        <v>3451500</v>
      </c>
      <c r="AV96" s="49">
        <f>AK96</f>
        <v>360000</v>
      </c>
      <c r="AW96" s="72">
        <f>AV96/AU96*100</f>
        <v>10.430247718383312</v>
      </c>
      <c r="AX96" s="49">
        <f>AU96-AV96</f>
        <v>3091500</v>
      </c>
      <c r="AY96" s="49">
        <f>AS96/AB96*100</f>
        <v>50</v>
      </c>
      <c r="AZ96" s="73">
        <f t="shared" si="17"/>
        <v>360000</v>
      </c>
    </row>
    <row r="97" spans="1:52" ht="20.100000000000001" customHeight="1">
      <c r="A97" s="68"/>
      <c r="B97" s="69"/>
      <c r="C97" s="240" t="s">
        <v>236</v>
      </c>
      <c r="D97" s="240"/>
      <c r="E97" s="241"/>
      <c r="F97" s="70"/>
      <c r="G97" s="71"/>
      <c r="H97" s="71"/>
      <c r="I97" s="71"/>
      <c r="J97" s="240" t="s">
        <v>237</v>
      </c>
      <c r="K97" s="241"/>
      <c r="L97" s="49">
        <v>4050000</v>
      </c>
      <c r="M97" s="49">
        <v>1014000</v>
      </c>
      <c r="N97" s="49"/>
      <c r="O97" s="49"/>
      <c r="P97" s="49"/>
      <c r="Q97" s="49">
        <f>SUM(N97:P97)</f>
        <v>0</v>
      </c>
      <c r="R97" s="72">
        <f t="shared" si="13"/>
        <v>0</v>
      </c>
      <c r="S97" s="49">
        <f>M97-Q97</f>
        <v>1014000</v>
      </c>
      <c r="T97" s="49">
        <v>1014000</v>
      </c>
      <c r="U97" s="49">
        <f>T97+M97</f>
        <v>2028000</v>
      </c>
      <c r="V97" s="49">
        <f>T97+S97</f>
        <v>2028000</v>
      </c>
      <c r="W97" s="49">
        <f>235800+943200+96000</f>
        <v>1275000</v>
      </c>
      <c r="X97" s="49"/>
      <c r="Y97" s="49"/>
      <c r="Z97" s="49"/>
      <c r="AA97" s="49">
        <v>1014000</v>
      </c>
      <c r="AB97" s="49">
        <v>4050000</v>
      </c>
      <c r="AC97" s="49">
        <f t="shared" si="33"/>
        <v>0</v>
      </c>
      <c r="AD97" s="49">
        <f>AA97+T97+M97</f>
        <v>3042000</v>
      </c>
      <c r="AE97" s="49"/>
      <c r="AF97" s="49"/>
      <c r="AG97" s="49">
        <f>117900+471600-96000</f>
        <v>493500</v>
      </c>
      <c r="AH97" s="49"/>
      <c r="AI97" s="49"/>
      <c r="AJ97" s="49">
        <f>176850+353700</f>
        <v>530550</v>
      </c>
      <c r="AK97" s="49">
        <f>Z97+Y97+X97+W97+N97+AG97+AJ97+AI97+AH97</f>
        <v>2299050</v>
      </c>
      <c r="AL97" s="49">
        <f>AK97/AD97*100</f>
        <v>75.57692307692308</v>
      </c>
      <c r="AM97" s="49"/>
      <c r="AN97" s="49"/>
      <c r="AO97" s="49"/>
      <c r="AP97" s="49"/>
      <c r="AQ97" s="49">
        <f>AK97+AM97+AN97+AO97+AP97</f>
        <v>2299050</v>
      </c>
      <c r="AR97" s="49">
        <f>AQ97/AB97*100</f>
        <v>56.766666666666666</v>
      </c>
      <c r="AS97" s="49">
        <f>AB97-AQ97</f>
        <v>1750950</v>
      </c>
      <c r="AT97" s="49">
        <v>3091500</v>
      </c>
      <c r="AU97" s="49">
        <f>AT97+U97</f>
        <v>5119500</v>
      </c>
      <c r="AV97" s="49">
        <f>AK97</f>
        <v>2299050</v>
      </c>
      <c r="AW97" s="72">
        <f>AV97/AU97*100</f>
        <v>44.907705830647529</v>
      </c>
      <c r="AX97" s="49">
        <f>AU97-AV97</f>
        <v>2820450</v>
      </c>
      <c r="AY97" s="49">
        <f>AS97/AB97*100</f>
        <v>43.233333333333334</v>
      </c>
      <c r="AZ97" s="73">
        <f t="shared" si="17"/>
        <v>2299050</v>
      </c>
    </row>
    <row r="98" spans="1:52" ht="20.100000000000001" customHeight="1">
      <c r="A98" s="68"/>
      <c r="B98" s="69"/>
      <c r="C98" s="240" t="s">
        <v>238</v>
      </c>
      <c r="D98" s="240"/>
      <c r="E98" s="241"/>
      <c r="F98" s="70"/>
      <c r="G98" s="71"/>
      <c r="H98" s="71"/>
      <c r="I98" s="240" t="s">
        <v>239</v>
      </c>
      <c r="J98" s="240"/>
      <c r="K98" s="241"/>
      <c r="L98" s="49"/>
      <c r="M98" s="49"/>
      <c r="N98" s="49"/>
      <c r="O98" s="49"/>
      <c r="P98" s="49"/>
      <c r="Q98" s="49"/>
      <c r="R98" s="72"/>
      <c r="S98" s="49"/>
      <c r="T98" s="49"/>
      <c r="U98" s="49"/>
      <c r="V98" s="49"/>
      <c r="W98" s="49"/>
      <c r="X98" s="49"/>
      <c r="Y98" s="49"/>
      <c r="Z98" s="49"/>
      <c r="AA98" s="49"/>
      <c r="AB98" s="49"/>
      <c r="AC98" s="49">
        <f t="shared" si="33"/>
        <v>0</v>
      </c>
      <c r="AD98" s="49"/>
      <c r="AE98" s="49"/>
      <c r="AF98" s="49"/>
      <c r="AG98" s="49"/>
      <c r="AH98" s="49"/>
      <c r="AI98" s="49"/>
      <c r="AJ98" s="49"/>
      <c r="AK98" s="49"/>
      <c r="AL98" s="49"/>
      <c r="AM98" s="49"/>
      <c r="AN98" s="49"/>
      <c r="AO98" s="49"/>
      <c r="AP98" s="49"/>
      <c r="AQ98" s="49"/>
      <c r="AR98" s="49"/>
      <c r="AS98" s="49"/>
      <c r="AT98" s="49"/>
      <c r="AU98" s="49"/>
      <c r="AV98" s="49"/>
      <c r="AW98" s="49"/>
      <c r="AX98" s="49"/>
      <c r="AY98" s="49"/>
      <c r="AZ98" s="73">
        <f t="shared" si="17"/>
        <v>0</v>
      </c>
    </row>
    <row r="99" spans="1:52" ht="20.100000000000001" customHeight="1">
      <c r="A99" s="68"/>
      <c r="B99" s="69"/>
      <c r="C99" s="240" t="s">
        <v>240</v>
      </c>
      <c r="D99" s="240"/>
      <c r="E99" s="241"/>
      <c r="F99" s="70"/>
      <c r="G99" s="71"/>
      <c r="H99" s="71"/>
      <c r="I99" s="71"/>
      <c r="J99" s="240" t="s">
        <v>241</v>
      </c>
      <c r="K99" s="241"/>
      <c r="L99" s="49">
        <v>8000000</v>
      </c>
      <c r="M99" s="49">
        <v>0</v>
      </c>
      <c r="N99" s="49"/>
      <c r="O99" s="49"/>
      <c r="P99" s="49"/>
      <c r="Q99" s="49">
        <f>SUM(N99:P99)</f>
        <v>0</v>
      </c>
      <c r="R99" s="72"/>
      <c r="S99" s="49">
        <f>M99-Q99</f>
        <v>0</v>
      </c>
      <c r="T99" s="49">
        <v>0</v>
      </c>
      <c r="U99" s="49">
        <f>T99+M99</f>
        <v>0</v>
      </c>
      <c r="V99" s="49">
        <f>T99+S99</f>
        <v>0</v>
      </c>
      <c r="W99" s="49"/>
      <c r="X99" s="49"/>
      <c r="Y99" s="49"/>
      <c r="Z99" s="49"/>
      <c r="AA99" s="49">
        <v>8000000</v>
      </c>
      <c r="AB99" s="49">
        <v>8000000</v>
      </c>
      <c r="AC99" s="49">
        <f t="shared" si="33"/>
        <v>0</v>
      </c>
      <c r="AD99" s="49">
        <f>AA99+T99+M99</f>
        <v>8000000</v>
      </c>
      <c r="AE99" s="49"/>
      <c r="AF99" s="49"/>
      <c r="AG99" s="49"/>
      <c r="AH99" s="49"/>
      <c r="AI99" s="49"/>
      <c r="AJ99" s="49">
        <v>8000000</v>
      </c>
      <c r="AK99" s="49">
        <f>Z99+Y99+X99+W99+N99+AG99+AJ99+AI99+AH99</f>
        <v>8000000</v>
      </c>
      <c r="AL99" s="49">
        <f>AK99/AD99*100</f>
        <v>100</v>
      </c>
      <c r="AM99" s="49"/>
      <c r="AN99" s="49"/>
      <c r="AO99" s="49"/>
      <c r="AP99" s="49"/>
      <c r="AQ99" s="49">
        <f>AK99+AM99+AN99+AO99+AP99</f>
        <v>8000000</v>
      </c>
      <c r="AR99" s="49">
        <f>AQ99/AB99*100</f>
        <v>100</v>
      </c>
      <c r="AS99" s="49">
        <f>AB99-AQ99</f>
        <v>0</v>
      </c>
      <c r="AT99" s="49">
        <v>3091500</v>
      </c>
      <c r="AU99" s="49">
        <f>AT99+U99</f>
        <v>3091500</v>
      </c>
      <c r="AV99" s="49">
        <f>AK99</f>
        <v>8000000</v>
      </c>
      <c r="AW99" s="72">
        <f>AV99/AU99*100</f>
        <v>258.77405790069542</v>
      </c>
      <c r="AX99" s="49">
        <f>AU99-AV99</f>
        <v>-4908500</v>
      </c>
      <c r="AY99" s="49">
        <f>AS99/AB99*100</f>
        <v>0</v>
      </c>
      <c r="AZ99" s="73">
        <f t="shared" si="17"/>
        <v>8000000</v>
      </c>
    </row>
    <row r="100" spans="1:52" ht="20.100000000000001" customHeight="1">
      <c r="A100" s="68"/>
      <c r="B100" s="69"/>
      <c r="C100" s="240" t="s">
        <v>242</v>
      </c>
      <c r="D100" s="240"/>
      <c r="E100" s="241"/>
      <c r="F100" s="70"/>
      <c r="G100" s="71"/>
      <c r="H100" s="71"/>
      <c r="I100" s="240" t="s">
        <v>243</v>
      </c>
      <c r="J100" s="240"/>
      <c r="K100" s="241"/>
      <c r="L100" s="49"/>
      <c r="M100" s="49"/>
      <c r="N100" s="49"/>
      <c r="O100" s="49"/>
      <c r="P100" s="49"/>
      <c r="Q100" s="49"/>
      <c r="R100" s="72"/>
      <c r="S100" s="49"/>
      <c r="T100" s="49"/>
      <c r="U100" s="49"/>
      <c r="V100" s="49"/>
      <c r="W100" s="49"/>
      <c r="X100" s="49"/>
      <c r="Y100" s="49"/>
      <c r="Z100" s="49"/>
      <c r="AA100" s="49"/>
      <c r="AB100" s="49"/>
      <c r="AC100" s="49">
        <f t="shared" si="33"/>
        <v>0</v>
      </c>
      <c r="AD100" s="49"/>
      <c r="AE100" s="49"/>
      <c r="AF100" s="49"/>
      <c r="AG100" s="49"/>
      <c r="AH100" s="49"/>
      <c r="AI100" s="49"/>
      <c r="AJ100" s="49"/>
      <c r="AK100" s="49"/>
      <c r="AL100" s="49"/>
      <c r="AM100" s="49"/>
      <c r="AN100" s="49"/>
      <c r="AO100" s="49"/>
      <c r="AP100" s="49"/>
      <c r="AQ100" s="49"/>
      <c r="AR100" s="49"/>
      <c r="AS100" s="49"/>
      <c r="AT100" s="49"/>
      <c r="AU100" s="49"/>
      <c r="AV100" s="49"/>
      <c r="AW100" s="49"/>
      <c r="AX100" s="49"/>
      <c r="AY100" s="49"/>
      <c r="AZ100" s="73">
        <f t="shared" ref="AZ100:AZ163" si="43">AQ100-AO100</f>
        <v>0</v>
      </c>
    </row>
    <row r="101" spans="1:52" ht="20.100000000000001" customHeight="1">
      <c r="A101" s="68"/>
      <c r="B101" s="69"/>
      <c r="C101" s="240" t="s">
        <v>244</v>
      </c>
      <c r="D101" s="240"/>
      <c r="E101" s="241"/>
      <c r="F101" s="70"/>
      <c r="G101" s="71"/>
      <c r="H101" s="71"/>
      <c r="I101" s="71"/>
      <c r="J101" s="240" t="s">
        <v>245</v>
      </c>
      <c r="K101" s="241"/>
      <c r="L101" s="49">
        <v>840000</v>
      </c>
      <c r="M101" s="49">
        <v>210000</v>
      </c>
      <c r="N101" s="49">
        <v>96000</v>
      </c>
      <c r="O101" s="49"/>
      <c r="P101" s="49"/>
      <c r="Q101" s="49">
        <f>SUM(N101:P101)</f>
        <v>96000</v>
      </c>
      <c r="R101" s="72">
        <f>Q101/M101*100</f>
        <v>45.714285714285715</v>
      </c>
      <c r="S101" s="49">
        <f>M101-Q101</f>
        <v>114000</v>
      </c>
      <c r="T101" s="49">
        <v>210000</v>
      </c>
      <c r="U101" s="49">
        <f>T101+M101</f>
        <v>420000</v>
      </c>
      <c r="V101" s="49">
        <f>T101+S101</f>
        <v>324000</v>
      </c>
      <c r="W101" s="49"/>
      <c r="X101" s="49"/>
      <c r="Y101" s="49"/>
      <c r="Z101" s="49"/>
      <c r="AA101" s="49">
        <v>210000</v>
      </c>
      <c r="AB101" s="49">
        <v>1200000</v>
      </c>
      <c r="AC101" s="49">
        <f t="shared" si="33"/>
        <v>360000</v>
      </c>
      <c r="AD101" s="49">
        <f>AA101+T101+M101</f>
        <v>630000</v>
      </c>
      <c r="AE101" s="49"/>
      <c r="AF101" s="49"/>
      <c r="AG101" s="49">
        <f>216000+96000+96000</f>
        <v>408000</v>
      </c>
      <c r="AH101" s="49"/>
      <c r="AI101" s="49"/>
      <c r="AJ101" s="49">
        <v>48000</v>
      </c>
      <c r="AK101" s="49">
        <f>Z101+Y101+X101+W101+N101+AG101+AJ101+AI101+AH101</f>
        <v>552000</v>
      </c>
      <c r="AL101" s="49">
        <f>AK101/AD101*100</f>
        <v>87.61904761904762</v>
      </c>
      <c r="AM101" s="49"/>
      <c r="AN101" s="49"/>
      <c r="AO101" s="42">
        <v>216000</v>
      </c>
      <c r="AP101" s="49"/>
      <c r="AQ101" s="49">
        <f>AK101+AM101+AN101+AO101+AP101</f>
        <v>768000</v>
      </c>
      <c r="AR101" s="49">
        <f>AQ101/AB101*100</f>
        <v>64</v>
      </c>
      <c r="AS101" s="49">
        <f t="shared" ref="AS101:AS110" si="44">AB101-AQ101</f>
        <v>432000</v>
      </c>
      <c r="AT101" s="49">
        <v>3091500</v>
      </c>
      <c r="AU101" s="49">
        <f>AT101+U101</f>
        <v>3511500</v>
      </c>
      <c r="AV101" s="49">
        <f>AK101</f>
        <v>552000</v>
      </c>
      <c r="AW101" s="72">
        <f>AV101/AU101*100</f>
        <v>15.719777872703972</v>
      </c>
      <c r="AX101" s="49">
        <f>AU101-AV101</f>
        <v>2959500</v>
      </c>
      <c r="AY101" s="49">
        <f>AS101/AB101*100</f>
        <v>36</v>
      </c>
      <c r="AZ101" s="73">
        <f t="shared" si="43"/>
        <v>552000</v>
      </c>
    </row>
    <row r="102" spans="1:52" ht="20.100000000000001" customHeight="1">
      <c r="A102" s="62">
        <v>7</v>
      </c>
      <c r="B102" s="63"/>
      <c r="C102" s="242" t="s">
        <v>246</v>
      </c>
      <c r="D102" s="242"/>
      <c r="E102" s="243"/>
      <c r="F102" s="64"/>
      <c r="G102" s="244" t="s">
        <v>4</v>
      </c>
      <c r="H102" s="244"/>
      <c r="I102" s="244"/>
      <c r="J102" s="244"/>
      <c r="K102" s="245"/>
      <c r="L102" s="65">
        <f>SUM(L105:L109)</f>
        <v>355150000</v>
      </c>
      <c r="M102" s="65">
        <f>SUM(M105:M109)</f>
        <v>87904000</v>
      </c>
      <c r="N102" s="65">
        <f>SUM(N105:N109)</f>
        <v>40819900</v>
      </c>
      <c r="O102" s="65">
        <f>SUM(O105:O109)</f>
        <v>0</v>
      </c>
      <c r="P102" s="65">
        <f>SUM(P105:P109)</f>
        <v>0</v>
      </c>
      <c r="Q102" s="65">
        <f>SUM(N102:P102)</f>
        <v>40819900</v>
      </c>
      <c r="R102" s="66">
        <f>Q102/M102*100</f>
        <v>46.436908445576989</v>
      </c>
      <c r="S102" s="65">
        <f>M102-Q102</f>
        <v>47084100</v>
      </c>
      <c r="T102" s="65">
        <f>SUM(T105:T109)</f>
        <v>96731000</v>
      </c>
      <c r="U102" s="65">
        <f>T102+M102</f>
        <v>184635000</v>
      </c>
      <c r="V102" s="65">
        <f>T102+S102</f>
        <v>143815100</v>
      </c>
      <c r="W102" s="65">
        <f>SUM(W105:W109)</f>
        <v>33578150</v>
      </c>
      <c r="X102" s="65">
        <f>SUM(X105:X109)</f>
        <v>0</v>
      </c>
      <c r="Y102" s="65">
        <f>SUM(Y105:Y109)</f>
        <v>0</v>
      </c>
      <c r="Z102" s="65"/>
      <c r="AA102" s="65">
        <f>SUM(AA105:AA109)</f>
        <v>81517500</v>
      </c>
      <c r="AB102" s="65">
        <f>SUM(AB105:AB109)</f>
        <v>312656000</v>
      </c>
      <c r="AC102" s="65">
        <f t="shared" si="33"/>
        <v>-42494000</v>
      </c>
      <c r="AD102" s="65">
        <f>AA102+T102+M102</f>
        <v>266152500</v>
      </c>
      <c r="AE102" s="65">
        <f t="shared" ref="AE102:AK102" si="45">SUM(AE105:AE109)</f>
        <v>0</v>
      </c>
      <c r="AF102" s="65">
        <f t="shared" si="45"/>
        <v>0</v>
      </c>
      <c r="AG102" s="65">
        <f t="shared" si="45"/>
        <v>41225300</v>
      </c>
      <c r="AH102" s="65">
        <f t="shared" si="45"/>
        <v>0</v>
      </c>
      <c r="AI102" s="65">
        <f t="shared" si="45"/>
        <v>0</v>
      </c>
      <c r="AJ102" s="65">
        <f t="shared" si="45"/>
        <v>25482150</v>
      </c>
      <c r="AK102" s="65">
        <f t="shared" si="45"/>
        <v>141105500</v>
      </c>
      <c r="AL102" s="65">
        <f>AK102/AB102*100</f>
        <v>45.131230489739522</v>
      </c>
      <c r="AM102" s="65">
        <f>SUM(AM105:AM109)</f>
        <v>0</v>
      </c>
      <c r="AN102" s="65">
        <f>SUM(AN105:AN109)</f>
        <v>0</v>
      </c>
      <c r="AO102" s="42">
        <f>SUM(AO105:AO109)</f>
        <v>24227250</v>
      </c>
      <c r="AP102" s="65">
        <f>SUM(AP105:AP109)</f>
        <v>0</v>
      </c>
      <c r="AQ102" s="65">
        <f>AK102+AM102+AN102+AO102+AP102</f>
        <v>165332750</v>
      </c>
      <c r="AR102" s="65">
        <f>AQ102/AB102*100</f>
        <v>52.880082262934344</v>
      </c>
      <c r="AS102" s="65">
        <f t="shared" si="44"/>
        <v>147323250</v>
      </c>
      <c r="AT102" s="65">
        <f>SUM(AT105:AT111)</f>
        <v>430315500</v>
      </c>
      <c r="AU102" s="65">
        <f>AT102+U102</f>
        <v>614950500</v>
      </c>
      <c r="AV102" s="65">
        <f>AK102</f>
        <v>141105500</v>
      </c>
      <c r="AW102" s="66">
        <f>AV102/AU102*100</f>
        <v>22.945830599373444</v>
      </c>
      <c r="AX102" s="65">
        <f>AU102-AV102</f>
        <v>473845000</v>
      </c>
      <c r="AY102" s="65">
        <f>AS102/AB102*100</f>
        <v>47.119917737065656</v>
      </c>
      <c r="AZ102" s="67">
        <f t="shared" si="43"/>
        <v>141105500</v>
      </c>
    </row>
    <row r="103" spans="1:52" ht="20.100000000000001" customHeight="1">
      <c r="A103" s="68"/>
      <c r="B103" s="69"/>
      <c r="C103" s="240" t="s">
        <v>247</v>
      </c>
      <c r="D103" s="240"/>
      <c r="E103" s="241"/>
      <c r="F103" s="70"/>
      <c r="G103" s="71"/>
      <c r="H103" s="240" t="s">
        <v>143</v>
      </c>
      <c r="I103" s="240"/>
      <c r="J103" s="240"/>
      <c r="K103" s="241"/>
      <c r="L103" s="49"/>
      <c r="M103" s="49"/>
      <c r="N103" s="49"/>
      <c r="O103" s="49"/>
      <c r="P103" s="49"/>
      <c r="Q103" s="49"/>
      <c r="R103" s="72"/>
      <c r="S103" s="49"/>
      <c r="T103" s="49"/>
      <c r="U103" s="49"/>
      <c r="V103" s="49"/>
      <c r="W103" s="49"/>
      <c r="X103" s="49"/>
      <c r="Y103" s="49"/>
      <c r="Z103" s="49"/>
      <c r="AA103" s="49"/>
      <c r="AB103" s="49"/>
      <c r="AC103" s="49">
        <f t="shared" si="33"/>
        <v>0</v>
      </c>
      <c r="AD103" s="49"/>
      <c r="AE103" s="49"/>
      <c r="AF103" s="49"/>
      <c r="AG103" s="49"/>
      <c r="AH103" s="49"/>
      <c r="AI103" s="49"/>
      <c r="AJ103" s="49"/>
      <c r="AK103" s="49"/>
      <c r="AL103" s="49"/>
      <c r="AM103" s="49"/>
      <c r="AN103" s="49"/>
      <c r="AO103" s="49"/>
      <c r="AP103" s="49"/>
      <c r="AQ103" s="49">
        <f>AK103+AL103+AM103+AN103+AO103+AP103</f>
        <v>0</v>
      </c>
      <c r="AR103" s="49"/>
      <c r="AS103" s="49">
        <f t="shared" si="44"/>
        <v>0</v>
      </c>
      <c r="AT103" s="49"/>
      <c r="AU103" s="49"/>
      <c r="AV103" s="49"/>
      <c r="AW103" s="49"/>
      <c r="AX103" s="49"/>
      <c r="AY103" s="49"/>
      <c r="AZ103" s="73">
        <f t="shared" si="43"/>
        <v>0</v>
      </c>
    </row>
    <row r="104" spans="1:52" ht="20.100000000000001" customHeight="1">
      <c r="A104" s="68"/>
      <c r="B104" s="69"/>
      <c r="C104" s="240" t="s">
        <v>248</v>
      </c>
      <c r="D104" s="240"/>
      <c r="E104" s="241"/>
      <c r="F104" s="70"/>
      <c r="G104" s="71"/>
      <c r="H104" s="71"/>
      <c r="I104" s="240" t="s">
        <v>233</v>
      </c>
      <c r="J104" s="240"/>
      <c r="K104" s="241"/>
      <c r="L104" s="49"/>
      <c r="M104" s="49"/>
      <c r="N104" s="49"/>
      <c r="O104" s="49"/>
      <c r="P104" s="49"/>
      <c r="Q104" s="49"/>
      <c r="R104" s="72"/>
      <c r="S104" s="49"/>
      <c r="T104" s="49"/>
      <c r="U104" s="49"/>
      <c r="V104" s="49"/>
      <c r="W104" s="49"/>
      <c r="X104" s="49"/>
      <c r="Y104" s="49"/>
      <c r="Z104" s="49"/>
      <c r="AA104" s="49"/>
      <c r="AB104" s="49"/>
      <c r="AC104" s="49">
        <f t="shared" si="33"/>
        <v>0</v>
      </c>
      <c r="AD104" s="49"/>
      <c r="AE104" s="49"/>
      <c r="AF104" s="49"/>
      <c r="AG104" s="49"/>
      <c r="AH104" s="49"/>
      <c r="AI104" s="49"/>
      <c r="AJ104" s="49"/>
      <c r="AK104" s="49"/>
      <c r="AL104" s="49"/>
      <c r="AM104" s="49"/>
      <c r="AN104" s="49"/>
      <c r="AO104" s="49"/>
      <c r="AP104" s="49"/>
      <c r="AQ104" s="49">
        <f>AK104+AL104+AM104+AN104+AO104+AP104</f>
        <v>0</v>
      </c>
      <c r="AR104" s="49"/>
      <c r="AS104" s="49">
        <f t="shared" si="44"/>
        <v>0</v>
      </c>
      <c r="AT104" s="49"/>
      <c r="AU104" s="49"/>
      <c r="AV104" s="49"/>
      <c r="AW104" s="49"/>
      <c r="AX104" s="49"/>
      <c r="AY104" s="49"/>
      <c r="AZ104" s="73">
        <f t="shared" si="43"/>
        <v>0</v>
      </c>
    </row>
    <row r="105" spans="1:52" ht="20.100000000000001" customHeight="1">
      <c r="A105" s="68"/>
      <c r="B105" s="69"/>
      <c r="C105" s="240" t="s">
        <v>249</v>
      </c>
      <c r="D105" s="240"/>
      <c r="E105" s="241"/>
      <c r="F105" s="70"/>
      <c r="G105" s="71"/>
      <c r="H105" s="71"/>
      <c r="I105" s="71"/>
      <c r="J105" s="240" t="s">
        <v>235</v>
      </c>
      <c r="K105" s="241"/>
      <c r="L105" s="49">
        <v>77080000</v>
      </c>
      <c r="M105" s="49">
        <v>12000000</v>
      </c>
      <c r="N105" s="49">
        <f>6884000+470000</f>
        <v>7354000</v>
      </c>
      <c r="O105" s="49"/>
      <c r="P105" s="49"/>
      <c r="Q105" s="49">
        <f t="shared" ref="Q105:Q110" si="46">SUM(N105:P105)</f>
        <v>7354000</v>
      </c>
      <c r="R105" s="72">
        <f>Q105/M105*100</f>
        <v>61.283333333333331</v>
      </c>
      <c r="S105" s="49">
        <f t="shared" ref="S105:S110" si="47">M105-Q105</f>
        <v>4646000</v>
      </c>
      <c r="T105" s="49">
        <v>24000000</v>
      </c>
      <c r="U105" s="49">
        <f t="shared" ref="U105:U110" si="48">T105+M105</f>
        <v>36000000</v>
      </c>
      <c r="V105" s="49">
        <f t="shared" ref="V105:V110" si="49">T105+S105</f>
        <v>28646000</v>
      </c>
      <c r="W105" s="49">
        <f>5474000</f>
        <v>5474000</v>
      </c>
      <c r="X105" s="49"/>
      <c r="Y105" s="49"/>
      <c r="Z105" s="49"/>
      <c r="AA105" s="49">
        <v>12000000</v>
      </c>
      <c r="AB105" s="49">
        <v>66480000</v>
      </c>
      <c r="AC105" s="49">
        <f t="shared" si="33"/>
        <v>-10600000</v>
      </c>
      <c r="AD105" s="49">
        <f t="shared" ref="AD105:AD110" si="50">AA105+T105+M105</f>
        <v>48000000</v>
      </c>
      <c r="AE105" s="49"/>
      <c r="AF105" s="49"/>
      <c r="AG105" s="49">
        <f>6128000+2014000+470000</f>
        <v>8612000</v>
      </c>
      <c r="AH105" s="49"/>
      <c r="AI105" s="49"/>
      <c r="AJ105" s="49">
        <f>447000+1083000</f>
        <v>1530000</v>
      </c>
      <c r="AK105" s="49">
        <f>Z105+Y105+X105+W105+N105+AG105+AJ105+AI105+AH105</f>
        <v>22970000</v>
      </c>
      <c r="AL105" s="49">
        <f>AK105/AD105*100</f>
        <v>47.854166666666664</v>
      </c>
      <c r="AM105" s="49"/>
      <c r="AN105" s="49"/>
      <c r="AO105" s="42">
        <f>7485000</f>
        <v>7485000</v>
      </c>
      <c r="AP105" s="49"/>
      <c r="AQ105" s="49">
        <f t="shared" ref="AQ105:AQ110" si="51">AK105+AM105+AN105+AO105+AP105</f>
        <v>30455000</v>
      </c>
      <c r="AR105" s="49">
        <f t="shared" ref="AR105:AR110" si="52">AQ105/AB105*100</f>
        <v>45.810770156438025</v>
      </c>
      <c r="AS105" s="49">
        <f t="shared" si="44"/>
        <v>36025000</v>
      </c>
      <c r="AT105" s="49">
        <v>3091500</v>
      </c>
      <c r="AU105" s="49">
        <f t="shared" ref="AU105:AU110" si="53">AT105+U105</f>
        <v>39091500</v>
      </c>
      <c r="AV105" s="49">
        <f t="shared" ref="AV105:AV110" si="54">AK105</f>
        <v>22970000</v>
      </c>
      <c r="AW105" s="72">
        <f t="shared" ref="AW105:AW110" si="55">AV105/AU105*100</f>
        <v>58.759576890116783</v>
      </c>
      <c r="AX105" s="49">
        <f t="shared" ref="AX105:AX110" si="56">AU105-AV105</f>
        <v>16121500</v>
      </c>
      <c r="AY105" s="49">
        <f t="shared" ref="AY105:AY110" si="57">AS105/AB105*100</f>
        <v>54.189229843561968</v>
      </c>
      <c r="AZ105" s="73">
        <f t="shared" si="43"/>
        <v>22970000</v>
      </c>
    </row>
    <row r="106" spans="1:52" ht="20.100000000000001" customHeight="1">
      <c r="A106" s="68"/>
      <c r="B106" s="69"/>
      <c r="C106" s="240" t="s">
        <v>250</v>
      </c>
      <c r="D106" s="240"/>
      <c r="E106" s="241"/>
      <c r="F106" s="70"/>
      <c r="G106" s="71"/>
      <c r="H106" s="71"/>
      <c r="I106" s="71"/>
      <c r="J106" s="240" t="s">
        <v>251</v>
      </c>
      <c r="K106" s="241"/>
      <c r="L106" s="49">
        <v>38400000</v>
      </c>
      <c r="M106" s="49">
        <v>19200000</v>
      </c>
      <c r="N106" s="49">
        <v>8745000</v>
      </c>
      <c r="O106" s="49"/>
      <c r="P106" s="49"/>
      <c r="Q106" s="49">
        <f t="shared" si="46"/>
        <v>8745000</v>
      </c>
      <c r="R106" s="72">
        <f>Q106/M106*100</f>
        <v>45.546875</v>
      </c>
      <c r="S106" s="49">
        <f t="shared" si="47"/>
        <v>10455000</v>
      </c>
      <c r="T106" s="49">
        <v>9600000</v>
      </c>
      <c r="U106" s="49">
        <f t="shared" si="48"/>
        <v>28800000</v>
      </c>
      <c r="V106" s="49">
        <f t="shared" si="49"/>
        <v>20055000</v>
      </c>
      <c r="W106" s="49">
        <f>1435000</f>
        <v>1435000</v>
      </c>
      <c r="X106" s="49"/>
      <c r="Y106" s="49"/>
      <c r="Z106" s="49"/>
      <c r="AA106" s="49">
        <v>9600000</v>
      </c>
      <c r="AB106" s="49">
        <v>24050000</v>
      </c>
      <c r="AC106" s="49">
        <f t="shared" si="33"/>
        <v>-14350000</v>
      </c>
      <c r="AD106" s="49">
        <f t="shared" si="50"/>
        <v>38400000</v>
      </c>
      <c r="AE106" s="49"/>
      <c r="AF106" s="49"/>
      <c r="AG106" s="49">
        <f>1300000</f>
        <v>1300000</v>
      </c>
      <c r="AH106" s="49"/>
      <c r="AI106" s="49"/>
      <c r="AJ106" s="49">
        <v>860000</v>
      </c>
      <c r="AK106" s="49">
        <f>Z106+Y106+X106+W106+N106+AG106+AJ106+AI106+AH106</f>
        <v>12340000</v>
      </c>
      <c r="AL106" s="49">
        <f>AK106/AD106*100</f>
        <v>32.135416666666664</v>
      </c>
      <c r="AM106" s="49"/>
      <c r="AN106" s="49"/>
      <c r="AO106" s="42">
        <f>4340000</f>
        <v>4340000</v>
      </c>
      <c r="AP106" s="49"/>
      <c r="AQ106" s="49">
        <f t="shared" si="51"/>
        <v>16680000</v>
      </c>
      <c r="AR106" s="49">
        <f t="shared" si="52"/>
        <v>69.355509355509355</v>
      </c>
      <c r="AS106" s="49">
        <f t="shared" si="44"/>
        <v>7370000</v>
      </c>
      <c r="AT106" s="49">
        <v>3091500</v>
      </c>
      <c r="AU106" s="49">
        <f t="shared" si="53"/>
        <v>31891500</v>
      </c>
      <c r="AV106" s="49">
        <f t="shared" si="54"/>
        <v>12340000</v>
      </c>
      <c r="AW106" s="72">
        <f t="shared" si="55"/>
        <v>38.693695812363799</v>
      </c>
      <c r="AX106" s="49">
        <f t="shared" si="56"/>
        <v>19551500</v>
      </c>
      <c r="AY106" s="49">
        <f t="shared" si="57"/>
        <v>30.644490644490645</v>
      </c>
      <c r="AZ106" s="73">
        <f t="shared" si="43"/>
        <v>12340000</v>
      </c>
    </row>
    <row r="107" spans="1:52" ht="20.100000000000001" customHeight="1">
      <c r="A107" s="68"/>
      <c r="B107" s="69"/>
      <c r="C107" s="240" t="s">
        <v>252</v>
      </c>
      <c r="D107" s="240"/>
      <c r="E107" s="241"/>
      <c r="F107" s="70"/>
      <c r="G107" s="71"/>
      <c r="H107" s="71"/>
      <c r="I107" s="71"/>
      <c r="J107" s="240" t="s">
        <v>237</v>
      </c>
      <c r="K107" s="241"/>
      <c r="L107" s="49">
        <v>225216000</v>
      </c>
      <c r="M107" s="49">
        <v>56304000</v>
      </c>
      <c r="N107" s="49">
        <f>21190400+3530500</f>
        <v>24720900</v>
      </c>
      <c r="O107" s="49"/>
      <c r="P107" s="49"/>
      <c r="Q107" s="49">
        <f t="shared" si="46"/>
        <v>24720900</v>
      </c>
      <c r="R107" s="72">
        <f>Q107/M107*100</f>
        <v>43.906116794543905</v>
      </c>
      <c r="S107" s="49">
        <f t="shared" si="47"/>
        <v>31583100</v>
      </c>
      <c r="T107" s="49">
        <v>56304000</v>
      </c>
      <c r="U107" s="49">
        <f t="shared" si="48"/>
        <v>112608000</v>
      </c>
      <c r="V107" s="49">
        <f t="shared" si="49"/>
        <v>87887100</v>
      </c>
      <c r="W107" s="49">
        <f>11239800+1611750+1765250+11213600</f>
        <v>25830400</v>
      </c>
      <c r="X107" s="49"/>
      <c r="Y107" s="49"/>
      <c r="Z107" s="49"/>
      <c r="AA107" s="49">
        <v>56304000</v>
      </c>
      <c r="AB107" s="49">
        <v>207672000</v>
      </c>
      <c r="AC107" s="49">
        <f t="shared" si="33"/>
        <v>-17544000</v>
      </c>
      <c r="AD107" s="49">
        <f t="shared" si="50"/>
        <v>168912000</v>
      </c>
      <c r="AE107" s="49"/>
      <c r="AF107" s="49"/>
      <c r="AG107" s="49">
        <f>15464550+2686250+10054250+1842000</f>
        <v>30047050</v>
      </c>
      <c r="AH107" s="49"/>
      <c r="AI107" s="49"/>
      <c r="AJ107" s="49">
        <f>9766050+1842000+8724600+1842000</f>
        <v>22174650</v>
      </c>
      <c r="AK107" s="49">
        <f>Z107+Y107+X107+W107+N107+AG107+AJ107+AI107+AH107</f>
        <v>102773000</v>
      </c>
      <c r="AL107" s="49">
        <f>AK107/AD107*100</f>
        <v>60.844108174670829</v>
      </c>
      <c r="AM107" s="49"/>
      <c r="AN107" s="49"/>
      <c r="AO107" s="42">
        <f>10447250+1842000</f>
        <v>12289250</v>
      </c>
      <c r="AP107" s="49"/>
      <c r="AQ107" s="49">
        <f t="shared" si="51"/>
        <v>115062250</v>
      </c>
      <c r="AR107" s="49">
        <f t="shared" si="52"/>
        <v>55.405760044685849</v>
      </c>
      <c r="AS107" s="49">
        <f t="shared" si="44"/>
        <v>92609750</v>
      </c>
      <c r="AT107" s="49">
        <v>3091500</v>
      </c>
      <c r="AU107" s="49">
        <f t="shared" si="53"/>
        <v>115699500</v>
      </c>
      <c r="AV107" s="49">
        <f t="shared" si="54"/>
        <v>102773000</v>
      </c>
      <c r="AW107" s="72">
        <f t="shared" si="55"/>
        <v>88.82752302300355</v>
      </c>
      <c r="AX107" s="49">
        <f t="shared" si="56"/>
        <v>12926500</v>
      </c>
      <c r="AY107" s="49">
        <f t="shared" si="57"/>
        <v>44.594239955314144</v>
      </c>
      <c r="AZ107" s="73">
        <f t="shared" si="43"/>
        <v>102773000</v>
      </c>
    </row>
    <row r="108" spans="1:52" ht="20.100000000000001" customHeight="1">
      <c r="A108" s="68"/>
      <c r="B108" s="69"/>
      <c r="C108" s="240" t="s">
        <v>253</v>
      </c>
      <c r="D108" s="240"/>
      <c r="E108" s="241"/>
      <c r="F108" s="70"/>
      <c r="G108" s="71"/>
      <c r="H108" s="71"/>
      <c r="I108" s="71"/>
      <c r="J108" s="240" t="s">
        <v>254</v>
      </c>
      <c r="K108" s="241"/>
      <c r="L108" s="49">
        <v>1600000</v>
      </c>
      <c r="M108" s="49">
        <v>400000</v>
      </c>
      <c r="N108" s="49"/>
      <c r="O108" s="49"/>
      <c r="P108" s="49"/>
      <c r="Q108" s="49">
        <f t="shared" si="46"/>
        <v>0</v>
      </c>
      <c r="R108" s="72">
        <f>Q108/M108*100</f>
        <v>0</v>
      </c>
      <c r="S108" s="49">
        <f t="shared" si="47"/>
        <v>400000</v>
      </c>
      <c r="T108" s="49">
        <v>400000</v>
      </c>
      <c r="U108" s="49">
        <f t="shared" si="48"/>
        <v>800000</v>
      </c>
      <c r="V108" s="49">
        <f t="shared" si="49"/>
        <v>800000</v>
      </c>
      <c r="W108" s="49"/>
      <c r="X108" s="49"/>
      <c r="Y108" s="49"/>
      <c r="Z108" s="49"/>
      <c r="AA108" s="49">
        <v>400000</v>
      </c>
      <c r="AB108" s="49">
        <v>1600000</v>
      </c>
      <c r="AC108" s="49">
        <f t="shared" si="33"/>
        <v>0</v>
      </c>
      <c r="AD108" s="49">
        <f t="shared" si="50"/>
        <v>1200000</v>
      </c>
      <c r="AE108" s="49"/>
      <c r="AF108" s="49"/>
      <c r="AG108" s="49"/>
      <c r="AH108" s="49"/>
      <c r="AI108" s="49"/>
      <c r="AJ108" s="49"/>
      <c r="AK108" s="49">
        <f>Z108+Y108+X108+W108+N108+AG108+AJ108+AI108+AH108</f>
        <v>0</v>
      </c>
      <c r="AL108" s="49">
        <f>AK108/AD108*100</f>
        <v>0</v>
      </c>
      <c r="AM108" s="49"/>
      <c r="AN108" s="49"/>
      <c r="AO108" s="49">
        <v>0</v>
      </c>
      <c r="AP108" s="49"/>
      <c r="AQ108" s="49">
        <f t="shared" si="51"/>
        <v>0</v>
      </c>
      <c r="AR108" s="49">
        <f t="shared" si="52"/>
        <v>0</v>
      </c>
      <c r="AS108" s="49">
        <f t="shared" si="44"/>
        <v>1600000</v>
      </c>
      <c r="AT108" s="49">
        <v>3091500</v>
      </c>
      <c r="AU108" s="49">
        <f t="shared" si="53"/>
        <v>3891500</v>
      </c>
      <c r="AV108" s="49">
        <f t="shared" si="54"/>
        <v>0</v>
      </c>
      <c r="AW108" s="72">
        <f t="shared" si="55"/>
        <v>0</v>
      </c>
      <c r="AX108" s="49">
        <f t="shared" si="56"/>
        <v>3891500</v>
      </c>
      <c r="AY108" s="49">
        <f t="shared" si="57"/>
        <v>100</v>
      </c>
      <c r="AZ108" s="73">
        <f t="shared" si="43"/>
        <v>0</v>
      </c>
    </row>
    <row r="109" spans="1:52" ht="20.100000000000001" customHeight="1">
      <c r="A109" s="68"/>
      <c r="B109" s="69"/>
      <c r="C109" s="240" t="s">
        <v>255</v>
      </c>
      <c r="D109" s="240"/>
      <c r="E109" s="241"/>
      <c r="F109" s="70"/>
      <c r="G109" s="71"/>
      <c r="H109" s="71"/>
      <c r="I109" s="71"/>
      <c r="J109" s="240" t="s">
        <v>256</v>
      </c>
      <c r="K109" s="241"/>
      <c r="L109" s="49">
        <v>12854000</v>
      </c>
      <c r="M109" s="49">
        <v>0</v>
      </c>
      <c r="N109" s="49"/>
      <c r="O109" s="49"/>
      <c r="P109" s="49"/>
      <c r="Q109" s="49">
        <f t="shared" si="46"/>
        <v>0</v>
      </c>
      <c r="R109" s="72"/>
      <c r="S109" s="49">
        <f t="shared" si="47"/>
        <v>0</v>
      </c>
      <c r="T109" s="49">
        <v>6427000</v>
      </c>
      <c r="U109" s="49">
        <f t="shared" si="48"/>
        <v>6427000</v>
      </c>
      <c r="V109" s="49">
        <f t="shared" si="49"/>
        <v>6427000</v>
      </c>
      <c r="W109" s="49">
        <f>438500+400250</f>
        <v>838750</v>
      </c>
      <c r="X109" s="49"/>
      <c r="Y109" s="49"/>
      <c r="Z109" s="49"/>
      <c r="AA109" s="49">
        <v>3213500</v>
      </c>
      <c r="AB109" s="49">
        <v>12854000</v>
      </c>
      <c r="AC109" s="49">
        <f t="shared" si="33"/>
        <v>0</v>
      </c>
      <c r="AD109" s="49">
        <f t="shared" si="50"/>
        <v>9640500</v>
      </c>
      <c r="AE109" s="49"/>
      <c r="AF109" s="49"/>
      <c r="AG109" s="49">
        <f>1047750+103500+115000</f>
        <v>1266250</v>
      </c>
      <c r="AH109" s="49"/>
      <c r="AI109" s="49"/>
      <c r="AJ109" s="49">
        <v>917500</v>
      </c>
      <c r="AK109" s="49">
        <f>Z109+Y109+X109+W109+N109+AG109+AJ109+AI109+AH109</f>
        <v>3022500</v>
      </c>
      <c r="AL109" s="49">
        <f>AK109/AD109*100</f>
        <v>31.352108293138318</v>
      </c>
      <c r="AM109" s="49"/>
      <c r="AN109" s="49"/>
      <c r="AO109" s="42">
        <v>113000</v>
      </c>
      <c r="AP109" s="49"/>
      <c r="AQ109" s="49">
        <f t="shared" si="51"/>
        <v>3135500</v>
      </c>
      <c r="AR109" s="49">
        <f t="shared" si="52"/>
        <v>24.393185000777969</v>
      </c>
      <c r="AS109" s="49">
        <f t="shared" si="44"/>
        <v>9718500</v>
      </c>
      <c r="AT109" s="49">
        <v>3091500</v>
      </c>
      <c r="AU109" s="49">
        <f t="shared" si="53"/>
        <v>9518500</v>
      </c>
      <c r="AV109" s="49">
        <f t="shared" si="54"/>
        <v>3022500</v>
      </c>
      <c r="AW109" s="72">
        <f t="shared" si="55"/>
        <v>31.753952828702005</v>
      </c>
      <c r="AX109" s="49">
        <f t="shared" si="56"/>
        <v>6496000</v>
      </c>
      <c r="AY109" s="49">
        <f t="shared" si="57"/>
        <v>75.606814999222024</v>
      </c>
      <c r="AZ109" s="73">
        <f t="shared" si="43"/>
        <v>3022500</v>
      </c>
    </row>
    <row r="110" spans="1:52" ht="20.100000000000001" customHeight="1">
      <c r="A110" s="62">
        <v>8</v>
      </c>
      <c r="B110" s="63"/>
      <c r="C110" s="242" t="s">
        <v>257</v>
      </c>
      <c r="D110" s="242"/>
      <c r="E110" s="243"/>
      <c r="F110" s="64"/>
      <c r="G110" s="244" t="s">
        <v>19</v>
      </c>
      <c r="H110" s="244"/>
      <c r="I110" s="244"/>
      <c r="J110" s="244"/>
      <c r="K110" s="245"/>
      <c r="L110" s="65">
        <f>SUM(L113)</f>
        <v>20000000</v>
      </c>
      <c r="M110" s="65">
        <f>SUM(M113)</f>
        <v>10000000</v>
      </c>
      <c r="N110" s="65">
        <f>SUM(N113)</f>
        <v>0</v>
      </c>
      <c r="O110" s="65">
        <f>SUM(O113)</f>
        <v>0</v>
      </c>
      <c r="P110" s="65">
        <f>SUM(P113)</f>
        <v>0</v>
      </c>
      <c r="Q110" s="65">
        <f t="shared" si="46"/>
        <v>0</v>
      </c>
      <c r="R110" s="66">
        <f>Q110/M110*100</f>
        <v>0</v>
      </c>
      <c r="S110" s="65">
        <f t="shared" si="47"/>
        <v>10000000</v>
      </c>
      <c r="T110" s="65">
        <f>SUM(T113)</f>
        <v>0</v>
      </c>
      <c r="U110" s="65">
        <f t="shared" si="48"/>
        <v>10000000</v>
      </c>
      <c r="V110" s="65">
        <f t="shared" si="49"/>
        <v>10000000</v>
      </c>
      <c r="W110" s="65">
        <f t="shared" ref="W110:AB110" si="58">SUM(W113)</f>
        <v>10000000</v>
      </c>
      <c r="X110" s="65">
        <f t="shared" si="58"/>
        <v>0</v>
      </c>
      <c r="Y110" s="65">
        <f t="shared" si="58"/>
        <v>0</v>
      </c>
      <c r="Z110" s="65">
        <f t="shared" si="58"/>
        <v>0</v>
      </c>
      <c r="AA110" s="65">
        <f t="shared" si="58"/>
        <v>10000000</v>
      </c>
      <c r="AB110" s="65">
        <f t="shared" si="58"/>
        <v>20000000</v>
      </c>
      <c r="AC110" s="65">
        <f t="shared" si="33"/>
        <v>0</v>
      </c>
      <c r="AD110" s="65">
        <f t="shared" si="50"/>
        <v>20000000</v>
      </c>
      <c r="AE110" s="65">
        <f t="shared" ref="AE110:AK110" si="59">SUM(AE113)</f>
        <v>0</v>
      </c>
      <c r="AF110" s="65">
        <f t="shared" si="59"/>
        <v>0</v>
      </c>
      <c r="AG110" s="65">
        <f t="shared" si="59"/>
        <v>10000000</v>
      </c>
      <c r="AH110" s="65">
        <f t="shared" si="59"/>
        <v>0</v>
      </c>
      <c r="AI110" s="65">
        <f t="shared" si="59"/>
        <v>0</v>
      </c>
      <c r="AJ110" s="65">
        <f t="shared" si="59"/>
        <v>0</v>
      </c>
      <c r="AK110" s="65">
        <f t="shared" si="59"/>
        <v>20000000</v>
      </c>
      <c r="AL110" s="65">
        <f>AK110/AB110*100</f>
        <v>100</v>
      </c>
      <c r="AM110" s="65">
        <f>SUM(AM113)</f>
        <v>0</v>
      </c>
      <c r="AN110" s="65">
        <f>SUM(AN113)</f>
        <v>0</v>
      </c>
      <c r="AO110" s="65">
        <f>SUM(AO113)</f>
        <v>0</v>
      </c>
      <c r="AP110" s="65">
        <f>SUM(AP113)</f>
        <v>0</v>
      </c>
      <c r="AQ110" s="65">
        <f t="shared" si="51"/>
        <v>20000000</v>
      </c>
      <c r="AR110" s="65">
        <f t="shared" si="52"/>
        <v>100</v>
      </c>
      <c r="AS110" s="65">
        <f t="shared" si="44"/>
        <v>0</v>
      </c>
      <c r="AT110" s="65">
        <f>SUM(AT113:AT119)</f>
        <v>414858000</v>
      </c>
      <c r="AU110" s="65">
        <f t="shared" si="53"/>
        <v>424858000</v>
      </c>
      <c r="AV110" s="65">
        <f t="shared" si="54"/>
        <v>20000000</v>
      </c>
      <c r="AW110" s="66">
        <f t="shared" si="55"/>
        <v>4.7074551967951646</v>
      </c>
      <c r="AX110" s="65">
        <f t="shared" si="56"/>
        <v>404858000</v>
      </c>
      <c r="AY110" s="65">
        <f t="shared" si="57"/>
        <v>0</v>
      </c>
      <c r="AZ110" s="67">
        <f t="shared" si="43"/>
        <v>20000000</v>
      </c>
    </row>
    <row r="111" spans="1:52" ht="20.100000000000001" customHeight="1">
      <c r="A111" s="68"/>
      <c r="B111" s="69"/>
      <c r="C111" s="240" t="s">
        <v>258</v>
      </c>
      <c r="D111" s="240"/>
      <c r="E111" s="241"/>
      <c r="F111" s="70"/>
      <c r="G111" s="71"/>
      <c r="H111" s="240" t="s">
        <v>143</v>
      </c>
      <c r="I111" s="240"/>
      <c r="J111" s="240"/>
      <c r="K111" s="241"/>
      <c r="L111" s="49"/>
      <c r="M111" s="49"/>
      <c r="N111" s="49"/>
      <c r="O111" s="49"/>
      <c r="P111" s="49"/>
      <c r="Q111" s="49"/>
      <c r="R111" s="72"/>
      <c r="S111" s="49"/>
      <c r="T111" s="49"/>
      <c r="U111" s="49"/>
      <c r="V111" s="49"/>
      <c r="W111" s="49"/>
      <c r="X111" s="49"/>
      <c r="Y111" s="49"/>
      <c r="Z111" s="49"/>
      <c r="AA111" s="49"/>
      <c r="AB111" s="49"/>
      <c r="AC111" s="49">
        <f t="shared" si="33"/>
        <v>0</v>
      </c>
      <c r="AD111" s="49"/>
      <c r="AE111" s="49"/>
      <c r="AF111" s="49"/>
      <c r="AG111" s="49"/>
      <c r="AH111" s="49"/>
      <c r="AI111" s="49"/>
      <c r="AJ111" s="49"/>
      <c r="AK111" s="49"/>
      <c r="AL111" s="49"/>
      <c r="AM111" s="49"/>
      <c r="AN111" s="49"/>
      <c r="AO111" s="49"/>
      <c r="AP111" s="49"/>
      <c r="AQ111" s="49"/>
      <c r="AR111" s="49"/>
      <c r="AS111" s="49"/>
      <c r="AT111" s="49"/>
      <c r="AU111" s="49"/>
      <c r="AV111" s="49"/>
      <c r="AW111" s="49"/>
      <c r="AX111" s="49"/>
      <c r="AY111" s="49"/>
      <c r="AZ111" s="73">
        <f t="shared" si="43"/>
        <v>0</v>
      </c>
    </row>
    <row r="112" spans="1:52" ht="20.100000000000001" customHeight="1">
      <c r="A112" s="68"/>
      <c r="B112" s="69"/>
      <c r="C112" s="240" t="s">
        <v>259</v>
      </c>
      <c r="D112" s="240"/>
      <c r="E112" s="241"/>
      <c r="F112" s="70"/>
      <c r="G112" s="71"/>
      <c r="H112" s="71"/>
      <c r="I112" s="240" t="s">
        <v>239</v>
      </c>
      <c r="J112" s="240"/>
      <c r="K112" s="241"/>
      <c r="L112" s="49"/>
      <c r="M112" s="49"/>
      <c r="N112" s="49"/>
      <c r="O112" s="49"/>
      <c r="P112" s="49"/>
      <c r="Q112" s="49"/>
      <c r="R112" s="72"/>
      <c r="S112" s="49"/>
      <c r="T112" s="49"/>
      <c r="U112" s="49"/>
      <c r="V112" s="49"/>
      <c r="W112" s="49"/>
      <c r="X112" s="49" t="s">
        <v>48</v>
      </c>
      <c r="Y112" s="49"/>
      <c r="Z112" s="49"/>
      <c r="AA112" s="49"/>
      <c r="AB112" s="49"/>
      <c r="AC112" s="49">
        <f t="shared" si="33"/>
        <v>0</v>
      </c>
      <c r="AD112" s="49"/>
      <c r="AE112" s="49" t="s">
        <v>48</v>
      </c>
      <c r="AF112" s="49" t="s">
        <v>48</v>
      </c>
      <c r="AG112" s="49"/>
      <c r="AH112" s="49"/>
      <c r="AI112" s="49"/>
      <c r="AJ112" s="49"/>
      <c r="AK112" s="49"/>
      <c r="AL112" s="49"/>
      <c r="AM112" s="49"/>
      <c r="AN112" s="49"/>
      <c r="AO112" s="49"/>
      <c r="AP112" s="49"/>
      <c r="AQ112" s="49"/>
      <c r="AR112" s="49"/>
      <c r="AS112" s="49"/>
      <c r="AT112" s="49"/>
      <c r="AU112" s="49"/>
      <c r="AV112" s="49"/>
      <c r="AW112" s="49"/>
      <c r="AX112" s="49"/>
      <c r="AY112" s="49"/>
      <c r="AZ112" s="73">
        <f t="shared" si="43"/>
        <v>0</v>
      </c>
    </row>
    <row r="113" spans="1:53" ht="20.100000000000001" customHeight="1">
      <c r="A113" s="68"/>
      <c r="B113" s="69"/>
      <c r="C113" s="240" t="s">
        <v>260</v>
      </c>
      <c r="D113" s="240"/>
      <c r="E113" s="241"/>
      <c r="F113" s="70"/>
      <c r="G113" s="71"/>
      <c r="H113" s="71"/>
      <c r="I113" s="71"/>
      <c r="J113" s="240" t="s">
        <v>261</v>
      </c>
      <c r="K113" s="241"/>
      <c r="L113" s="49">
        <v>20000000</v>
      </c>
      <c r="M113" s="49">
        <v>10000000</v>
      </c>
      <c r="N113" s="49"/>
      <c r="O113" s="49"/>
      <c r="P113" s="49"/>
      <c r="Q113" s="49">
        <f>SUM(N113:P113)</f>
        <v>0</v>
      </c>
      <c r="R113" s="72">
        <f>Q113/M113*100</f>
        <v>0</v>
      </c>
      <c r="S113" s="49">
        <f>M113-Q113</f>
        <v>10000000</v>
      </c>
      <c r="T113" s="49">
        <v>0</v>
      </c>
      <c r="U113" s="49">
        <f>T113+M113</f>
        <v>10000000</v>
      </c>
      <c r="V113" s="49">
        <f>T113+S113</f>
        <v>10000000</v>
      </c>
      <c r="W113" s="49">
        <v>10000000</v>
      </c>
      <c r="X113" s="49"/>
      <c r="Y113" s="49"/>
      <c r="Z113" s="49"/>
      <c r="AA113" s="49">
        <v>10000000</v>
      </c>
      <c r="AB113" s="49">
        <v>20000000</v>
      </c>
      <c r="AC113" s="49">
        <f t="shared" ref="AC113:AC176" si="60">AB113-L113</f>
        <v>0</v>
      </c>
      <c r="AD113" s="49">
        <f>AA113+T113+M113</f>
        <v>20000000</v>
      </c>
      <c r="AE113" s="49"/>
      <c r="AF113" s="49"/>
      <c r="AG113" s="49">
        <v>10000000</v>
      </c>
      <c r="AH113" s="49"/>
      <c r="AI113" s="49"/>
      <c r="AJ113" s="49"/>
      <c r="AK113" s="49">
        <f>Z113+Y113+X113+W113+N113+AG113+AJ113+AI113+AH113</f>
        <v>20000000</v>
      </c>
      <c r="AL113" s="49">
        <f>AK113/AD113*100</f>
        <v>100</v>
      </c>
      <c r="AM113" s="49"/>
      <c r="AN113" s="49"/>
      <c r="AO113" s="49"/>
      <c r="AP113" s="49"/>
      <c r="AQ113" s="49">
        <f>AK113+AM113+AN113+AO113+AP113</f>
        <v>20000000</v>
      </c>
      <c r="AR113" s="49">
        <f>AQ113/AB113*100</f>
        <v>100</v>
      </c>
      <c r="AS113" s="49">
        <f>AB113-AQ113</f>
        <v>0</v>
      </c>
      <c r="AT113" s="49">
        <v>3091500</v>
      </c>
      <c r="AU113" s="49">
        <f>AT113+U113</f>
        <v>13091500</v>
      </c>
      <c r="AV113" s="49">
        <f>AK113</f>
        <v>20000000</v>
      </c>
      <c r="AW113" s="72">
        <f>AV113/AU113*100</f>
        <v>152.7708818699156</v>
      </c>
      <c r="AX113" s="49">
        <f>AU113-AV113</f>
        <v>-6908500</v>
      </c>
      <c r="AY113" s="49">
        <f>AS113/AB113*100</f>
        <v>0</v>
      </c>
      <c r="AZ113" s="73">
        <f t="shared" si="43"/>
        <v>20000000</v>
      </c>
    </row>
    <row r="114" spans="1:53" ht="20.100000000000001" customHeight="1">
      <c r="A114" s="62">
        <v>9</v>
      </c>
      <c r="B114" s="63"/>
      <c r="C114" s="242" t="s">
        <v>262</v>
      </c>
      <c r="D114" s="242"/>
      <c r="E114" s="243"/>
      <c r="F114" s="64"/>
      <c r="G114" s="244" t="s">
        <v>5</v>
      </c>
      <c r="H114" s="244"/>
      <c r="I114" s="244"/>
      <c r="J114" s="244"/>
      <c r="K114" s="245"/>
      <c r="L114" s="65">
        <f>L117</f>
        <v>42000000</v>
      </c>
      <c r="M114" s="65">
        <f t="shared" ref="M114:T114" si="61">M117</f>
        <v>15750000</v>
      </c>
      <c r="N114" s="65">
        <f t="shared" si="61"/>
        <v>8497000</v>
      </c>
      <c r="O114" s="65">
        <f t="shared" si="61"/>
        <v>0</v>
      </c>
      <c r="P114" s="65">
        <f t="shared" si="61"/>
        <v>0</v>
      </c>
      <c r="Q114" s="65">
        <f>SUM(N114:P114)</f>
        <v>8497000</v>
      </c>
      <c r="R114" s="66">
        <f>Q114/M114*100</f>
        <v>53.949206349206349</v>
      </c>
      <c r="S114" s="65">
        <f>M114-Q114</f>
        <v>7253000</v>
      </c>
      <c r="T114" s="65">
        <f t="shared" si="61"/>
        <v>5250000</v>
      </c>
      <c r="U114" s="65">
        <f>T114+M114</f>
        <v>21000000</v>
      </c>
      <c r="V114" s="65">
        <f>T114+S114</f>
        <v>12503000</v>
      </c>
      <c r="W114" s="65">
        <f>W117</f>
        <v>9415000</v>
      </c>
      <c r="X114" s="65">
        <f>X117</f>
        <v>0</v>
      </c>
      <c r="Y114" s="65">
        <f>Y117</f>
        <v>0</v>
      </c>
      <c r="Z114" s="65"/>
      <c r="AA114" s="65">
        <v>21000000</v>
      </c>
      <c r="AB114" s="65">
        <f>AB117</f>
        <v>42000000</v>
      </c>
      <c r="AC114" s="65">
        <f t="shared" si="60"/>
        <v>0</v>
      </c>
      <c r="AD114" s="65">
        <f>AA114+T114+M114</f>
        <v>42000000</v>
      </c>
      <c r="AE114" s="65">
        <f t="shared" ref="AE114:AK114" si="62">AE117</f>
        <v>0</v>
      </c>
      <c r="AF114" s="65">
        <f t="shared" si="62"/>
        <v>0</v>
      </c>
      <c r="AG114" s="65">
        <f t="shared" si="62"/>
        <v>6100000</v>
      </c>
      <c r="AH114" s="65">
        <f t="shared" si="62"/>
        <v>0</v>
      </c>
      <c r="AI114" s="65">
        <f t="shared" si="62"/>
        <v>0</v>
      </c>
      <c r="AJ114" s="65">
        <f t="shared" si="62"/>
        <v>0</v>
      </c>
      <c r="AK114" s="65">
        <f t="shared" si="62"/>
        <v>24012000</v>
      </c>
      <c r="AL114" s="65">
        <f>AK114/AB114*100</f>
        <v>57.171428571428571</v>
      </c>
      <c r="AM114" s="65">
        <f>AM117</f>
        <v>0</v>
      </c>
      <c r="AN114" s="65">
        <f>AN117</f>
        <v>0</v>
      </c>
      <c r="AO114" s="42">
        <f>AO117</f>
        <v>17988000</v>
      </c>
      <c r="AP114" s="65">
        <f>AP117</f>
        <v>0</v>
      </c>
      <c r="AQ114" s="65">
        <f>AK114+AM114+AN114+AO114+AP114</f>
        <v>42000000</v>
      </c>
      <c r="AR114" s="65">
        <f>AQ114/AB114*100</f>
        <v>100</v>
      </c>
      <c r="AS114" s="65">
        <f>AB114-AQ114</f>
        <v>0</v>
      </c>
      <c r="AT114" s="65">
        <f>SUM(AT117:AT123)</f>
        <v>272450000</v>
      </c>
      <c r="AU114" s="65">
        <f>AT114+U114</f>
        <v>293450000</v>
      </c>
      <c r="AV114" s="65">
        <f>AK114</f>
        <v>24012000</v>
      </c>
      <c r="AW114" s="66">
        <f>AV114/AU114*100</f>
        <v>8.1826546260010229</v>
      </c>
      <c r="AX114" s="65">
        <f>AU114-AV114</f>
        <v>269438000</v>
      </c>
      <c r="AY114" s="65">
        <f>AS114/AB114*100</f>
        <v>0</v>
      </c>
      <c r="AZ114" s="67">
        <f>AQ114-AO114</f>
        <v>24012000</v>
      </c>
    </row>
    <row r="115" spans="1:53" ht="20.100000000000001" customHeight="1">
      <c r="A115" s="68"/>
      <c r="B115" s="69"/>
      <c r="C115" s="240" t="s">
        <v>263</v>
      </c>
      <c r="D115" s="240"/>
      <c r="E115" s="241"/>
      <c r="F115" s="70"/>
      <c r="G115" s="71"/>
      <c r="H115" s="240" t="s">
        <v>143</v>
      </c>
      <c r="I115" s="240"/>
      <c r="J115" s="240"/>
      <c r="K115" s="241"/>
      <c r="L115" s="49"/>
      <c r="M115" s="49"/>
      <c r="N115" s="49"/>
      <c r="O115" s="49"/>
      <c r="P115" s="49"/>
      <c r="Q115" s="49"/>
      <c r="R115" s="72"/>
      <c r="S115" s="49"/>
      <c r="T115" s="49"/>
      <c r="U115" s="49"/>
      <c r="V115" s="49"/>
      <c r="W115" s="49"/>
      <c r="X115" s="49"/>
      <c r="Y115" s="49"/>
      <c r="Z115" s="49"/>
      <c r="AA115" s="49"/>
      <c r="AB115" s="49"/>
      <c r="AC115" s="49">
        <f t="shared" si="60"/>
        <v>0</v>
      </c>
      <c r="AD115" s="49"/>
      <c r="AE115" s="49"/>
      <c r="AF115" s="49"/>
      <c r="AG115" s="49"/>
      <c r="AH115" s="49"/>
      <c r="AI115" s="49"/>
      <c r="AJ115" s="49"/>
      <c r="AK115" s="49"/>
      <c r="AL115" s="49"/>
      <c r="AM115" s="49"/>
      <c r="AN115" s="49"/>
      <c r="AO115" s="49"/>
      <c r="AP115" s="49"/>
      <c r="AQ115" s="49"/>
      <c r="AR115" s="49"/>
      <c r="AS115" s="49"/>
      <c r="AT115" s="49"/>
      <c r="AU115" s="49"/>
      <c r="AV115" s="49"/>
      <c r="AW115" s="49"/>
      <c r="AX115" s="49"/>
      <c r="AY115" s="49"/>
      <c r="AZ115" s="73">
        <f t="shared" si="43"/>
        <v>0</v>
      </c>
    </row>
    <row r="116" spans="1:53" ht="20.100000000000001" customHeight="1">
      <c r="A116" s="68"/>
      <c r="B116" s="69"/>
      <c r="C116" s="240" t="s">
        <v>264</v>
      </c>
      <c r="D116" s="240"/>
      <c r="E116" s="241"/>
      <c r="F116" s="70"/>
      <c r="G116" s="71"/>
      <c r="H116" s="71"/>
      <c r="I116" s="240" t="s">
        <v>239</v>
      </c>
      <c r="J116" s="240"/>
      <c r="K116" s="241"/>
      <c r="L116" s="49"/>
      <c r="M116" s="49"/>
      <c r="N116" s="49"/>
      <c r="O116" s="49"/>
      <c r="P116" s="49"/>
      <c r="Q116" s="49"/>
      <c r="R116" s="72"/>
      <c r="S116" s="49"/>
      <c r="T116" s="49"/>
      <c r="U116" s="49"/>
      <c r="V116" s="49"/>
      <c r="W116" s="49"/>
      <c r="X116" s="49"/>
      <c r="Y116" s="49"/>
      <c r="Z116" s="49"/>
      <c r="AA116" s="49"/>
      <c r="AB116" s="49"/>
      <c r="AC116" s="49">
        <f t="shared" si="60"/>
        <v>0</v>
      </c>
      <c r="AD116" s="49"/>
      <c r="AE116" s="49"/>
      <c r="AF116" s="49"/>
      <c r="AG116" s="49"/>
      <c r="AH116" s="49"/>
      <c r="AI116" s="49"/>
      <c r="AJ116" s="49"/>
      <c r="AK116" s="49"/>
      <c r="AL116" s="49"/>
      <c r="AM116" s="49"/>
      <c r="AN116" s="49"/>
      <c r="AO116" s="49"/>
      <c r="AP116" s="49"/>
      <c r="AQ116" s="49"/>
      <c r="AR116" s="49"/>
      <c r="AS116" s="49"/>
      <c r="AT116" s="49"/>
      <c r="AU116" s="49"/>
      <c r="AV116" s="49"/>
      <c r="AW116" s="49"/>
      <c r="AX116" s="49"/>
      <c r="AY116" s="49"/>
      <c r="AZ116" s="73">
        <f t="shared" si="43"/>
        <v>0</v>
      </c>
    </row>
    <row r="117" spans="1:53" ht="20.100000000000001" customHeight="1">
      <c r="A117" s="68"/>
      <c r="B117" s="69"/>
      <c r="C117" s="240" t="s">
        <v>265</v>
      </c>
      <c r="D117" s="240"/>
      <c r="E117" s="241"/>
      <c r="F117" s="70"/>
      <c r="G117" s="71"/>
      <c r="H117" s="71"/>
      <c r="I117" s="71"/>
      <c r="J117" s="240" t="s">
        <v>266</v>
      </c>
      <c r="K117" s="241"/>
      <c r="L117" s="49">
        <v>42000000</v>
      </c>
      <c r="M117" s="49">
        <v>15750000</v>
      </c>
      <c r="N117" s="49">
        <f>5497000+3000000</f>
        <v>8497000</v>
      </c>
      <c r="O117" s="49"/>
      <c r="P117" s="49"/>
      <c r="Q117" s="49">
        <f>SUM(N117:P117)</f>
        <v>8497000</v>
      </c>
      <c r="R117" s="72">
        <f>Q117/M117*100</f>
        <v>53.949206349206349</v>
      </c>
      <c r="S117" s="49">
        <f>M117-Q117</f>
        <v>7253000</v>
      </c>
      <c r="T117" s="49">
        <v>5250000</v>
      </c>
      <c r="U117" s="49">
        <f>T117+M117</f>
        <v>21000000</v>
      </c>
      <c r="V117" s="49">
        <f>T117+S117</f>
        <v>12503000</v>
      </c>
      <c r="W117" s="49">
        <f>7700000+1715000</f>
        <v>9415000</v>
      </c>
      <c r="X117" s="49"/>
      <c r="Y117" s="49"/>
      <c r="Z117" s="49"/>
      <c r="AA117" s="49">
        <v>21000000</v>
      </c>
      <c r="AB117" s="49">
        <v>42000000</v>
      </c>
      <c r="AC117" s="49">
        <f t="shared" si="60"/>
        <v>0</v>
      </c>
      <c r="AD117" s="49">
        <f>AA117+T117+M117</f>
        <v>42000000</v>
      </c>
      <c r="AE117" s="49"/>
      <c r="AF117" s="49"/>
      <c r="AG117" s="49">
        <f>1860000+1130000+1535000+1575000</f>
        <v>6100000</v>
      </c>
      <c r="AH117" s="49"/>
      <c r="AI117" s="49"/>
      <c r="AJ117" s="49"/>
      <c r="AK117" s="49">
        <f>Z117+Y117+X117+W117+N117+AG117+AJ117+AI117+AH117</f>
        <v>24012000</v>
      </c>
      <c r="AL117" s="49">
        <f>AK117/AD117*100</f>
        <v>57.171428571428571</v>
      </c>
      <c r="AM117" s="49"/>
      <c r="AN117" s="49"/>
      <c r="AO117" s="42">
        <f>13570000+1893000+2525000</f>
        <v>17988000</v>
      </c>
      <c r="AP117" s="49"/>
      <c r="AQ117" s="49">
        <f>AK117+AM117+AN117+AO117+AP117</f>
        <v>42000000</v>
      </c>
      <c r="AR117" s="49">
        <f>AQ117/AB117*100</f>
        <v>100</v>
      </c>
      <c r="AS117" s="49">
        <f>AB117-AQ117</f>
        <v>0</v>
      </c>
      <c r="AT117" s="49">
        <v>3091500</v>
      </c>
      <c r="AU117" s="49">
        <f>AT117+U117</f>
        <v>24091500</v>
      </c>
      <c r="AV117" s="49">
        <f>AK117</f>
        <v>24012000</v>
      </c>
      <c r="AW117" s="72">
        <f>AV117/AU117*100</f>
        <v>99.670008094141082</v>
      </c>
      <c r="AX117" s="49">
        <f>AU117-AV117</f>
        <v>79500</v>
      </c>
      <c r="AY117" s="49">
        <f>AS117/AB117*100</f>
        <v>0</v>
      </c>
      <c r="AZ117" s="73">
        <f t="shared" si="43"/>
        <v>24012000</v>
      </c>
    </row>
    <row r="118" spans="1:53" ht="20.100000000000001" customHeight="1">
      <c r="A118" s="62">
        <v>10</v>
      </c>
      <c r="B118" s="63"/>
      <c r="C118" s="242" t="s">
        <v>267</v>
      </c>
      <c r="D118" s="242"/>
      <c r="E118" s="243"/>
      <c r="F118" s="64"/>
      <c r="G118" s="244" t="s">
        <v>268</v>
      </c>
      <c r="H118" s="244"/>
      <c r="I118" s="244"/>
      <c r="J118" s="244"/>
      <c r="K118" s="245"/>
      <c r="L118" s="65">
        <f>L121</f>
        <v>200000000</v>
      </c>
      <c r="M118" s="65">
        <f>M121</f>
        <v>0</v>
      </c>
      <c r="N118" s="65">
        <f>N121</f>
        <v>0</v>
      </c>
      <c r="O118" s="65">
        <f>O121</f>
        <v>0</v>
      </c>
      <c r="P118" s="65">
        <f>P121</f>
        <v>0</v>
      </c>
      <c r="Q118" s="65">
        <f>SUM(N118:P118)</f>
        <v>0</v>
      </c>
      <c r="R118" s="66"/>
      <c r="S118" s="65">
        <f>M118-Q118</f>
        <v>0</v>
      </c>
      <c r="T118" s="65">
        <f>T121</f>
        <v>11108000</v>
      </c>
      <c r="U118" s="65">
        <f>T118+M118</f>
        <v>11108000</v>
      </c>
      <c r="V118" s="65">
        <f>T118+S118</f>
        <v>11108000</v>
      </c>
      <c r="W118" s="65">
        <f>W121</f>
        <v>0</v>
      </c>
      <c r="X118" s="65">
        <f>X121</f>
        <v>9735000</v>
      </c>
      <c r="Y118" s="65">
        <f>Y121</f>
        <v>0</v>
      </c>
      <c r="Z118" s="65"/>
      <c r="AA118" s="65">
        <f>AA121</f>
        <v>188892000</v>
      </c>
      <c r="AB118" s="65">
        <f>AB121</f>
        <v>200000000</v>
      </c>
      <c r="AC118" s="65">
        <f t="shared" si="60"/>
        <v>0</v>
      </c>
      <c r="AD118" s="65">
        <f>AA118+T118+M118</f>
        <v>200000000</v>
      </c>
      <c r="AE118" s="65">
        <f t="shared" ref="AE118:AK118" si="63">AE121</f>
        <v>0</v>
      </c>
      <c r="AF118" s="65">
        <f t="shared" si="63"/>
        <v>0</v>
      </c>
      <c r="AG118" s="65">
        <f t="shared" si="63"/>
        <v>1105000</v>
      </c>
      <c r="AH118" s="65">
        <f t="shared" si="63"/>
        <v>0</v>
      </c>
      <c r="AI118" s="65">
        <f t="shared" si="63"/>
        <v>0</v>
      </c>
      <c r="AJ118" s="65">
        <f t="shared" si="63"/>
        <v>0</v>
      </c>
      <c r="AK118" s="65">
        <f t="shared" si="63"/>
        <v>10840000</v>
      </c>
      <c r="AL118" s="65">
        <f>AK118/AB118*100</f>
        <v>5.42</v>
      </c>
      <c r="AM118" s="65">
        <f>AM121</f>
        <v>182561000</v>
      </c>
      <c r="AN118" s="65">
        <f>AN121</f>
        <v>0</v>
      </c>
      <c r="AO118" s="42">
        <f>AO121</f>
        <v>4730000</v>
      </c>
      <c r="AP118" s="65">
        <f>AP121</f>
        <v>0</v>
      </c>
      <c r="AQ118" s="65">
        <f>AK118+AM118+AN118+AO118+AP118</f>
        <v>198131000</v>
      </c>
      <c r="AR118" s="65">
        <f>AQ118/AB118*100</f>
        <v>99.0655</v>
      </c>
      <c r="AS118" s="65">
        <f>AB118-AQ118</f>
        <v>1869000</v>
      </c>
      <c r="AT118" s="65">
        <f>SUM(AT121:AT127)</f>
        <v>136225000</v>
      </c>
      <c r="AU118" s="65">
        <f>AT118+U118</f>
        <v>147333000</v>
      </c>
      <c r="AV118" s="65">
        <f>AK118</f>
        <v>10840000</v>
      </c>
      <c r="AW118" s="66">
        <f>AV118/AU118*100</f>
        <v>7.3574827092368986</v>
      </c>
      <c r="AX118" s="65">
        <f>AU118-AV118</f>
        <v>136493000</v>
      </c>
      <c r="AY118" s="65">
        <f>AS118/AB118*100</f>
        <v>0.93449999999999989</v>
      </c>
      <c r="AZ118" s="67">
        <f>AQ118-AO118-AM118</f>
        <v>10840000</v>
      </c>
      <c r="BA118" s="29">
        <f>AS118</f>
        <v>1869000</v>
      </c>
    </row>
    <row r="119" spans="1:53" ht="20.100000000000001" customHeight="1">
      <c r="A119" s="68"/>
      <c r="B119" s="69"/>
      <c r="C119" s="240" t="s">
        <v>269</v>
      </c>
      <c r="D119" s="240"/>
      <c r="E119" s="241"/>
      <c r="F119" s="70"/>
      <c r="G119" s="71"/>
      <c r="H119" s="240" t="s">
        <v>270</v>
      </c>
      <c r="I119" s="240"/>
      <c r="J119" s="240"/>
      <c r="K119" s="241"/>
      <c r="L119" s="49"/>
      <c r="M119" s="49"/>
      <c r="N119" s="49"/>
      <c r="O119" s="49"/>
      <c r="P119" s="49"/>
      <c r="Q119" s="49"/>
      <c r="R119" s="72"/>
      <c r="S119" s="49"/>
      <c r="T119" s="49"/>
      <c r="U119" s="49"/>
      <c r="V119" s="49"/>
      <c r="W119" s="49"/>
      <c r="X119" s="49"/>
      <c r="Y119" s="49"/>
      <c r="Z119" s="49"/>
      <c r="AA119" s="49"/>
      <c r="AB119" s="49"/>
      <c r="AC119" s="49">
        <f t="shared" si="60"/>
        <v>0</v>
      </c>
      <c r="AD119" s="49"/>
      <c r="AE119" s="49"/>
      <c r="AF119" s="49"/>
      <c r="AG119" s="49"/>
      <c r="AH119" s="49"/>
      <c r="AI119" s="49"/>
      <c r="AJ119" s="49"/>
      <c r="AK119" s="49"/>
      <c r="AL119" s="49"/>
      <c r="AM119" s="49"/>
      <c r="AN119" s="49"/>
      <c r="AO119" s="49"/>
      <c r="AP119" s="49"/>
      <c r="AQ119" s="49"/>
      <c r="AR119" s="49"/>
      <c r="AS119" s="49"/>
      <c r="AT119" s="49"/>
      <c r="AU119" s="49"/>
      <c r="AV119" s="49"/>
      <c r="AW119" s="49"/>
      <c r="AX119" s="49"/>
      <c r="AY119" s="49"/>
      <c r="AZ119" s="73">
        <f t="shared" si="43"/>
        <v>0</v>
      </c>
    </row>
    <row r="120" spans="1:53" ht="20.100000000000001" customHeight="1">
      <c r="A120" s="68"/>
      <c r="B120" s="69"/>
      <c r="C120" s="240" t="s">
        <v>271</v>
      </c>
      <c r="D120" s="240"/>
      <c r="E120" s="241"/>
      <c r="F120" s="70"/>
      <c r="G120" s="71"/>
      <c r="H120" s="71"/>
      <c r="I120" s="240" t="s">
        <v>272</v>
      </c>
      <c r="J120" s="240"/>
      <c r="K120" s="241"/>
      <c r="L120" s="49"/>
      <c r="M120" s="49"/>
      <c r="N120" s="49"/>
      <c r="O120" s="49"/>
      <c r="P120" s="49"/>
      <c r="Q120" s="49"/>
      <c r="R120" s="72"/>
      <c r="S120" s="49"/>
      <c r="T120" s="49"/>
      <c r="U120" s="49"/>
      <c r="V120" s="49"/>
      <c r="W120" s="49"/>
      <c r="X120" s="49"/>
      <c r="Y120" s="49"/>
      <c r="Z120" s="49"/>
      <c r="AA120" s="49"/>
      <c r="AB120" s="49"/>
      <c r="AC120" s="49">
        <f t="shared" si="60"/>
        <v>0</v>
      </c>
      <c r="AD120" s="49"/>
      <c r="AE120" s="49"/>
      <c r="AF120" s="49"/>
      <c r="AG120" s="49"/>
      <c r="AH120" s="49"/>
      <c r="AI120" s="49"/>
      <c r="AJ120" s="49"/>
      <c r="AK120" s="49"/>
      <c r="AL120" s="49"/>
      <c r="AM120" s="49"/>
      <c r="AN120" s="49"/>
      <c r="AO120" s="49"/>
      <c r="AP120" s="49"/>
      <c r="AQ120" s="49"/>
      <c r="AR120" s="49"/>
      <c r="AS120" s="49"/>
      <c r="AT120" s="49"/>
      <c r="AU120" s="49"/>
      <c r="AV120" s="49"/>
      <c r="AW120" s="49"/>
      <c r="AX120" s="49"/>
      <c r="AY120" s="49"/>
      <c r="AZ120" s="73">
        <f t="shared" si="43"/>
        <v>0</v>
      </c>
    </row>
    <row r="121" spans="1:53" ht="20.100000000000001" customHeight="1">
      <c r="A121" s="68"/>
      <c r="B121" s="69"/>
      <c r="C121" s="240" t="s">
        <v>273</v>
      </c>
      <c r="D121" s="240"/>
      <c r="E121" s="241"/>
      <c r="F121" s="70"/>
      <c r="G121" s="71"/>
      <c r="H121" s="71"/>
      <c r="I121" s="71"/>
      <c r="J121" s="240" t="s">
        <v>274</v>
      </c>
      <c r="K121" s="241"/>
      <c r="L121" s="49">
        <v>200000000</v>
      </c>
      <c r="M121" s="49">
        <v>0</v>
      </c>
      <c r="N121" s="49"/>
      <c r="O121" s="49"/>
      <c r="P121" s="49"/>
      <c r="Q121" s="49">
        <f>SUM(N121:P121)</f>
        <v>0</v>
      </c>
      <c r="R121" s="72"/>
      <c r="S121" s="49">
        <f>M121-Q121</f>
        <v>0</v>
      </c>
      <c r="T121" s="49">
        <v>11108000</v>
      </c>
      <c r="U121" s="49">
        <f>T121+M121</f>
        <v>11108000</v>
      </c>
      <c r="V121" s="49">
        <f>T121+S121</f>
        <v>11108000</v>
      </c>
      <c r="W121" s="49"/>
      <c r="X121" s="49">
        <v>9735000</v>
      </c>
      <c r="Y121" s="49"/>
      <c r="Z121" s="49"/>
      <c r="AA121" s="49">
        <v>188892000</v>
      </c>
      <c r="AB121" s="49">
        <v>200000000</v>
      </c>
      <c r="AC121" s="49">
        <f t="shared" si="60"/>
        <v>0</v>
      </c>
      <c r="AD121" s="49">
        <f>AA121+T121+M121</f>
        <v>200000000</v>
      </c>
      <c r="AE121" s="49">
        <v>0</v>
      </c>
      <c r="AF121" s="49">
        <v>0</v>
      </c>
      <c r="AG121" s="49">
        <f>930000+175000</f>
        <v>1105000</v>
      </c>
      <c r="AH121" s="49"/>
      <c r="AI121" s="49"/>
      <c r="AJ121" s="49"/>
      <c r="AK121" s="49">
        <f>Z121+Y121+X121+W121+N121+AG121+AJ121+AI121+AH121+AF121</f>
        <v>10840000</v>
      </c>
      <c r="AL121" s="49">
        <f>AK121/AD121*100</f>
        <v>5.42</v>
      </c>
      <c r="AM121" s="34">
        <f>175741000+6820000</f>
        <v>182561000</v>
      </c>
      <c r="AN121" s="49"/>
      <c r="AO121" s="42">
        <f>1980000+930000+680000+525000+170000+270000+175000</f>
        <v>4730000</v>
      </c>
      <c r="AP121" s="49"/>
      <c r="AQ121" s="49">
        <f>AK121+AM121+AN121+AO121+AP121</f>
        <v>198131000</v>
      </c>
      <c r="AR121" s="49">
        <f>AQ121/AB121*100</f>
        <v>99.0655</v>
      </c>
      <c r="AS121" s="49">
        <f>AB121-AQ121</f>
        <v>1869000</v>
      </c>
      <c r="AT121" s="49">
        <v>3091500</v>
      </c>
      <c r="AU121" s="49">
        <f>AT121+U121</f>
        <v>14199500</v>
      </c>
      <c r="AV121" s="49">
        <f>AK121</f>
        <v>10840000</v>
      </c>
      <c r="AW121" s="72">
        <f>AV121/AU121*100</f>
        <v>76.340716222402193</v>
      </c>
      <c r="AX121" s="49">
        <f>AU121-AV121</f>
        <v>3359500</v>
      </c>
      <c r="AY121" s="49">
        <f>AS121/AB121*100</f>
        <v>0.93449999999999989</v>
      </c>
      <c r="AZ121" s="73">
        <f t="shared" si="43"/>
        <v>193401000</v>
      </c>
    </row>
    <row r="122" spans="1:53" ht="20.100000000000001" customHeight="1">
      <c r="A122" s="60" t="s">
        <v>275</v>
      </c>
      <c r="B122" s="75"/>
      <c r="C122" s="247" t="s">
        <v>276</v>
      </c>
      <c r="D122" s="247"/>
      <c r="E122" s="248"/>
      <c r="F122" s="249" t="s">
        <v>277</v>
      </c>
      <c r="G122" s="250"/>
      <c r="H122" s="250"/>
      <c r="I122" s="250"/>
      <c r="J122" s="250"/>
      <c r="K122" s="251"/>
      <c r="L122" s="48">
        <f>L123</f>
        <v>12950000</v>
      </c>
      <c r="M122" s="48">
        <f>M123</f>
        <v>10665400</v>
      </c>
      <c r="N122" s="48">
        <f>N123</f>
        <v>6324900</v>
      </c>
      <c r="O122" s="48">
        <f>O123</f>
        <v>0</v>
      </c>
      <c r="P122" s="48">
        <f>P123</f>
        <v>0</v>
      </c>
      <c r="Q122" s="48">
        <f>SUM(N122:P122)</f>
        <v>6324900</v>
      </c>
      <c r="R122" s="61">
        <f>Q122/M122*100</f>
        <v>59.3029797288428</v>
      </c>
      <c r="S122" s="48">
        <f>M122-Q122</f>
        <v>4340500</v>
      </c>
      <c r="T122" s="48">
        <f>T123</f>
        <v>2284600</v>
      </c>
      <c r="U122" s="48">
        <f>T122+M122</f>
        <v>12950000</v>
      </c>
      <c r="V122" s="48">
        <f>T122+S122</f>
        <v>6625100</v>
      </c>
      <c r="W122" s="48">
        <f>W123</f>
        <v>2248250</v>
      </c>
      <c r="X122" s="48">
        <f>X123</f>
        <v>0</v>
      </c>
      <c r="Y122" s="48">
        <f>Y123</f>
        <v>0</v>
      </c>
      <c r="Z122" s="48"/>
      <c r="AA122" s="48">
        <f>AA123</f>
        <v>0</v>
      </c>
      <c r="AB122" s="48">
        <f>AB123</f>
        <v>12950000</v>
      </c>
      <c r="AC122" s="48">
        <f t="shared" si="60"/>
        <v>0</v>
      </c>
      <c r="AD122" s="48">
        <f>AA122+T122+M122</f>
        <v>12950000</v>
      </c>
      <c r="AE122" s="48">
        <f t="shared" ref="AE122:AK122" si="64">AE123</f>
        <v>0</v>
      </c>
      <c r="AF122" s="48">
        <f t="shared" si="64"/>
        <v>0</v>
      </c>
      <c r="AG122" s="48">
        <f t="shared" si="64"/>
        <v>3250400</v>
      </c>
      <c r="AH122" s="48">
        <f t="shared" si="64"/>
        <v>0</v>
      </c>
      <c r="AI122" s="48">
        <f t="shared" si="64"/>
        <v>0</v>
      </c>
      <c r="AJ122" s="48">
        <f t="shared" si="64"/>
        <v>0</v>
      </c>
      <c r="AK122" s="48">
        <f t="shared" si="64"/>
        <v>11823550</v>
      </c>
      <c r="AL122" s="48">
        <f>AK122/AB122*100</f>
        <v>91.301544401544405</v>
      </c>
      <c r="AM122" s="48">
        <f>AM123</f>
        <v>0</v>
      </c>
      <c r="AN122" s="48">
        <f>AN123</f>
        <v>0</v>
      </c>
      <c r="AO122" s="48">
        <f>AO123</f>
        <v>0</v>
      </c>
      <c r="AP122" s="48">
        <f>AP123</f>
        <v>0</v>
      </c>
      <c r="AQ122" s="48">
        <f>AK122+AM122+AN122+AO122+AP122</f>
        <v>11823550</v>
      </c>
      <c r="AR122" s="48">
        <f>AQ122/AB122*100</f>
        <v>91.301544401544405</v>
      </c>
      <c r="AS122" s="48">
        <f>AB122-AQ122</f>
        <v>1126450</v>
      </c>
      <c r="AT122" s="48">
        <v>120767500</v>
      </c>
      <c r="AU122" s="48">
        <f>AT122+U122</f>
        <v>133717500</v>
      </c>
      <c r="AV122" s="48">
        <f>AK122</f>
        <v>11823550</v>
      </c>
      <c r="AW122" s="61">
        <f>AV122/AU122*100</f>
        <v>8.8421859517265879</v>
      </c>
      <c r="AX122" s="48">
        <f>AU122-AV122</f>
        <v>121893950</v>
      </c>
      <c r="AY122" s="48">
        <f>AS122/AB122*100</f>
        <v>8.6984555984555989</v>
      </c>
      <c r="AZ122" s="73">
        <f t="shared" si="43"/>
        <v>11823550</v>
      </c>
    </row>
    <row r="123" spans="1:53" ht="20.100000000000001" customHeight="1">
      <c r="A123" s="62">
        <v>11</v>
      </c>
      <c r="B123" s="63"/>
      <c r="C123" s="242" t="s">
        <v>278</v>
      </c>
      <c r="D123" s="242"/>
      <c r="E123" s="243"/>
      <c r="F123" s="64"/>
      <c r="G123" s="244" t="s">
        <v>279</v>
      </c>
      <c r="H123" s="244"/>
      <c r="I123" s="244"/>
      <c r="J123" s="244"/>
      <c r="K123" s="245"/>
      <c r="L123" s="65">
        <f>SUM(L126:L135)</f>
        <v>12950000</v>
      </c>
      <c r="M123" s="65">
        <f>SUM(M126:M135)</f>
        <v>10665400</v>
      </c>
      <c r="N123" s="65">
        <f>SUM(N126:N135)</f>
        <v>6324900</v>
      </c>
      <c r="O123" s="65">
        <f>SUM(O126:O135)</f>
        <v>0</v>
      </c>
      <c r="P123" s="65">
        <f>SUM(P126:P135)</f>
        <v>0</v>
      </c>
      <c r="Q123" s="65">
        <f>SUM(N123:P123)</f>
        <v>6324900</v>
      </c>
      <c r="R123" s="66">
        <f>Q123/M123*100</f>
        <v>59.3029797288428</v>
      </c>
      <c r="S123" s="65">
        <f>M123-Q123</f>
        <v>4340500</v>
      </c>
      <c r="T123" s="65">
        <f>SUM(T126:T135)</f>
        <v>2284600</v>
      </c>
      <c r="U123" s="65">
        <f>T123+M123</f>
        <v>12950000</v>
      </c>
      <c r="V123" s="65">
        <f>T123+S123</f>
        <v>6625100</v>
      </c>
      <c r="W123" s="65">
        <f>SUM(W126:W135)</f>
        <v>2248250</v>
      </c>
      <c r="X123" s="65">
        <f>SUM(X126:X135)</f>
        <v>0</v>
      </c>
      <c r="Y123" s="65">
        <f>SUM(Y126:Y135)</f>
        <v>0</v>
      </c>
      <c r="Z123" s="65"/>
      <c r="AA123" s="65">
        <f>SUM(AA126:AA135)</f>
        <v>0</v>
      </c>
      <c r="AB123" s="65">
        <f>SUM(AB126:AB135)</f>
        <v>12950000</v>
      </c>
      <c r="AC123" s="65">
        <f t="shared" si="60"/>
        <v>0</v>
      </c>
      <c r="AD123" s="65">
        <f>AA123+T123+M123</f>
        <v>12950000</v>
      </c>
      <c r="AE123" s="65">
        <f t="shared" ref="AE123:AK123" si="65">SUM(AE126:AE135)</f>
        <v>0</v>
      </c>
      <c r="AF123" s="65">
        <f t="shared" si="65"/>
        <v>0</v>
      </c>
      <c r="AG123" s="65">
        <f t="shared" si="65"/>
        <v>3250400</v>
      </c>
      <c r="AH123" s="65">
        <f t="shared" si="65"/>
        <v>0</v>
      </c>
      <c r="AI123" s="65">
        <f t="shared" si="65"/>
        <v>0</v>
      </c>
      <c r="AJ123" s="65">
        <f t="shared" si="65"/>
        <v>0</v>
      </c>
      <c r="AK123" s="65">
        <f t="shared" si="65"/>
        <v>11823550</v>
      </c>
      <c r="AL123" s="65">
        <f>AK123/AB123*100</f>
        <v>91.301544401544405</v>
      </c>
      <c r="AM123" s="65">
        <f>SUM(AM126:AM135)</f>
        <v>0</v>
      </c>
      <c r="AN123" s="65">
        <f>SUM(AN126:AN135)</f>
        <v>0</v>
      </c>
      <c r="AO123" s="65">
        <f>SUM(AO126:AO135)</f>
        <v>0</v>
      </c>
      <c r="AP123" s="65">
        <f>SUM(AP126:AP135)</f>
        <v>0</v>
      </c>
      <c r="AQ123" s="65">
        <f>AK123+AM123+AN123+AO123+AP123</f>
        <v>11823550</v>
      </c>
      <c r="AR123" s="65">
        <f>AQ123/AB123*100</f>
        <v>91.301544401544405</v>
      </c>
      <c r="AS123" s="65">
        <f>AB123-AQ123</f>
        <v>1126450</v>
      </c>
      <c r="AT123" s="65">
        <f>SUM(AT126:AT132)</f>
        <v>9274500</v>
      </c>
      <c r="AU123" s="65">
        <f>AT123+U123</f>
        <v>22224500</v>
      </c>
      <c r="AV123" s="65">
        <f>AK123</f>
        <v>11823550</v>
      </c>
      <c r="AW123" s="66">
        <f>AV123/AU123*100</f>
        <v>53.20052194650048</v>
      </c>
      <c r="AX123" s="65">
        <f>AU123-AV123</f>
        <v>10400950</v>
      </c>
      <c r="AY123" s="65">
        <f>AS123/AB123*100</f>
        <v>8.6984555984555989</v>
      </c>
      <c r="AZ123" s="67">
        <f t="shared" si="43"/>
        <v>11823550</v>
      </c>
      <c r="BA123" s="29">
        <f>AS123</f>
        <v>1126450</v>
      </c>
    </row>
    <row r="124" spans="1:53" ht="20.100000000000001" customHeight="1">
      <c r="A124" s="68"/>
      <c r="B124" s="69"/>
      <c r="C124" s="240" t="s">
        <v>280</v>
      </c>
      <c r="D124" s="240"/>
      <c r="E124" s="241"/>
      <c r="F124" s="70"/>
      <c r="G124" s="71"/>
      <c r="H124" s="240" t="s">
        <v>10</v>
      </c>
      <c r="I124" s="240"/>
      <c r="J124" s="240"/>
      <c r="K124" s="241"/>
      <c r="L124" s="49"/>
      <c r="M124" s="49"/>
      <c r="N124" s="49"/>
      <c r="O124" s="49"/>
      <c r="P124" s="49"/>
      <c r="Q124" s="49"/>
      <c r="R124" s="72"/>
      <c r="S124" s="49"/>
      <c r="T124" s="49">
        <v>0</v>
      </c>
      <c r="U124" s="49"/>
      <c r="V124" s="49"/>
      <c r="W124" s="49"/>
      <c r="X124" s="49"/>
      <c r="Y124" s="49"/>
      <c r="Z124" s="49"/>
      <c r="AA124" s="49">
        <v>0</v>
      </c>
      <c r="AB124" s="49"/>
      <c r="AC124" s="49">
        <f t="shared" si="60"/>
        <v>0</v>
      </c>
      <c r="AD124" s="49"/>
      <c r="AE124" s="49"/>
      <c r="AF124" s="49"/>
      <c r="AG124" s="49"/>
      <c r="AH124" s="49"/>
      <c r="AI124" s="49"/>
      <c r="AJ124" s="49"/>
      <c r="AK124" s="49"/>
      <c r="AL124" s="49"/>
      <c r="AM124" s="49"/>
      <c r="AN124" s="49"/>
      <c r="AO124" s="49"/>
      <c r="AP124" s="49"/>
      <c r="AQ124" s="49"/>
      <c r="AR124" s="49"/>
      <c r="AS124" s="49"/>
      <c r="AT124" s="49"/>
      <c r="AU124" s="49"/>
      <c r="AV124" s="49"/>
      <c r="AW124" s="49"/>
      <c r="AX124" s="49"/>
      <c r="AY124" s="49"/>
      <c r="AZ124" s="73">
        <f t="shared" si="43"/>
        <v>0</v>
      </c>
    </row>
    <row r="125" spans="1:53" ht="20.100000000000001" customHeight="1">
      <c r="A125" s="68"/>
      <c r="B125" s="69"/>
      <c r="C125" s="240" t="s">
        <v>281</v>
      </c>
      <c r="D125" s="240"/>
      <c r="E125" s="241"/>
      <c r="F125" s="70"/>
      <c r="G125" s="71"/>
      <c r="H125" s="71"/>
      <c r="I125" s="240" t="s">
        <v>177</v>
      </c>
      <c r="J125" s="240"/>
      <c r="K125" s="241"/>
      <c r="L125" s="49"/>
      <c r="M125" s="49"/>
      <c r="N125" s="49"/>
      <c r="O125" s="49"/>
      <c r="P125" s="49"/>
      <c r="Q125" s="49"/>
      <c r="R125" s="72"/>
      <c r="S125" s="49"/>
      <c r="T125" s="49">
        <v>0</v>
      </c>
      <c r="U125" s="49"/>
      <c r="V125" s="49"/>
      <c r="W125" s="49"/>
      <c r="X125" s="49"/>
      <c r="Y125" s="49"/>
      <c r="Z125" s="49"/>
      <c r="AA125" s="49">
        <v>0</v>
      </c>
      <c r="AB125" s="49"/>
      <c r="AC125" s="49">
        <f t="shared" si="60"/>
        <v>0</v>
      </c>
      <c r="AD125" s="49"/>
      <c r="AE125" s="49"/>
      <c r="AF125" s="49"/>
      <c r="AG125" s="49"/>
      <c r="AH125" s="49"/>
      <c r="AI125" s="49"/>
      <c r="AJ125" s="49"/>
      <c r="AK125" s="49"/>
      <c r="AL125" s="49"/>
      <c r="AM125" s="49"/>
      <c r="AN125" s="49"/>
      <c r="AO125" s="49"/>
      <c r="AP125" s="49"/>
      <c r="AQ125" s="49"/>
      <c r="AR125" s="49"/>
      <c r="AS125" s="49"/>
      <c r="AT125" s="49"/>
      <c r="AU125" s="49"/>
      <c r="AV125" s="49"/>
      <c r="AW125" s="49"/>
      <c r="AX125" s="49"/>
      <c r="AY125" s="49"/>
      <c r="AZ125" s="73">
        <f t="shared" si="43"/>
        <v>0</v>
      </c>
    </row>
    <row r="126" spans="1:53" ht="20.100000000000001" customHeight="1">
      <c r="A126" s="68"/>
      <c r="B126" s="69"/>
      <c r="C126" s="240" t="s">
        <v>282</v>
      </c>
      <c r="D126" s="240"/>
      <c r="E126" s="241"/>
      <c r="F126" s="70"/>
      <c r="G126" s="71"/>
      <c r="H126" s="71"/>
      <c r="I126" s="71"/>
      <c r="J126" s="240" t="s">
        <v>283</v>
      </c>
      <c r="K126" s="241"/>
      <c r="L126" s="49">
        <v>5850000</v>
      </c>
      <c r="M126" s="49">
        <v>5850000</v>
      </c>
      <c r="N126" s="49">
        <f>2440000+1630000</f>
        <v>4070000</v>
      </c>
      <c r="O126" s="49"/>
      <c r="P126" s="49"/>
      <c r="Q126" s="49">
        <f>SUM(N126:P126)</f>
        <v>4070000</v>
      </c>
      <c r="R126" s="72">
        <f>Q126/M126*100</f>
        <v>69.572649572649567</v>
      </c>
      <c r="S126" s="49">
        <f>M126-Q126</f>
        <v>1780000</v>
      </c>
      <c r="T126" s="49">
        <v>0</v>
      </c>
      <c r="U126" s="49">
        <f>T126+M126</f>
        <v>5850000</v>
      </c>
      <c r="V126" s="49">
        <f>T126+S126</f>
        <v>1780000</v>
      </c>
      <c r="W126" s="49"/>
      <c r="X126" s="49"/>
      <c r="Y126" s="49"/>
      <c r="Z126" s="49"/>
      <c r="AA126" s="49">
        <v>0</v>
      </c>
      <c r="AB126" s="49">
        <v>5850000</v>
      </c>
      <c r="AC126" s="49">
        <f t="shared" si="60"/>
        <v>0</v>
      </c>
      <c r="AD126" s="49">
        <f>AA126+T126+M126</f>
        <v>5850000</v>
      </c>
      <c r="AE126" s="49"/>
      <c r="AF126" s="49"/>
      <c r="AG126" s="49">
        <v>890000</v>
      </c>
      <c r="AH126" s="49"/>
      <c r="AI126" s="49"/>
      <c r="AJ126" s="49"/>
      <c r="AK126" s="49">
        <f>Z126+Y126+X126+W126+N126+AG126+AJ126+AI126+AH126</f>
        <v>4960000</v>
      </c>
      <c r="AL126" s="49">
        <f>AK126/AD126*100</f>
        <v>84.786324786324784</v>
      </c>
      <c r="AM126" s="49"/>
      <c r="AN126" s="49"/>
      <c r="AO126" s="49"/>
      <c r="AP126" s="49"/>
      <c r="AQ126" s="49">
        <f>AK126+AM126+AN126+AO126+AP126</f>
        <v>4960000</v>
      </c>
      <c r="AR126" s="49">
        <f>AQ126/AB126*100</f>
        <v>84.786324786324784</v>
      </c>
      <c r="AS126" s="49">
        <f>AB126-AQ126</f>
        <v>890000</v>
      </c>
      <c r="AT126" s="49">
        <v>3091500</v>
      </c>
      <c r="AU126" s="49">
        <f>AT126+U126</f>
        <v>8941500</v>
      </c>
      <c r="AV126" s="49">
        <f>AK126</f>
        <v>4960000</v>
      </c>
      <c r="AW126" s="72">
        <f>AV126/AU126*100</f>
        <v>55.471677011687085</v>
      </c>
      <c r="AX126" s="49">
        <f>AU126-AV126</f>
        <v>3981500</v>
      </c>
      <c r="AY126" s="49">
        <f>AS126/AB126*100</f>
        <v>15.213675213675213</v>
      </c>
      <c r="AZ126" s="73">
        <f t="shared" si="43"/>
        <v>4960000</v>
      </c>
    </row>
    <row r="127" spans="1:53" ht="20.100000000000001" customHeight="1">
      <c r="A127" s="68"/>
      <c r="B127" s="69"/>
      <c r="C127" s="240" t="s">
        <v>284</v>
      </c>
      <c r="D127" s="240"/>
      <c r="E127" s="241"/>
      <c r="F127" s="70"/>
      <c r="G127" s="71"/>
      <c r="H127" s="240" t="s">
        <v>143</v>
      </c>
      <c r="I127" s="240"/>
      <c r="J127" s="240"/>
      <c r="K127" s="241"/>
      <c r="L127" s="49"/>
      <c r="M127" s="49"/>
      <c r="N127" s="49"/>
      <c r="O127" s="49"/>
      <c r="P127" s="49"/>
      <c r="Q127" s="49"/>
      <c r="R127" s="72"/>
      <c r="S127" s="49"/>
      <c r="T127" s="49"/>
      <c r="U127" s="49"/>
      <c r="V127" s="49"/>
      <c r="W127" s="49"/>
      <c r="X127" s="49"/>
      <c r="Y127" s="49"/>
      <c r="Z127" s="49"/>
      <c r="AA127" s="49"/>
      <c r="AB127" s="49"/>
      <c r="AC127" s="49">
        <f t="shared" si="60"/>
        <v>0</v>
      </c>
      <c r="AD127" s="49"/>
      <c r="AE127" s="49"/>
      <c r="AF127" s="49"/>
      <c r="AG127" s="49"/>
      <c r="AH127" s="49"/>
      <c r="AI127" s="49"/>
      <c r="AJ127" s="49"/>
      <c r="AK127" s="49"/>
      <c r="AL127" s="49"/>
      <c r="AM127" s="49"/>
      <c r="AN127" s="49"/>
      <c r="AO127" s="49"/>
      <c r="AP127" s="49"/>
      <c r="AQ127" s="49"/>
      <c r="AR127" s="49"/>
      <c r="AS127" s="49"/>
      <c r="AT127" s="49"/>
      <c r="AU127" s="49"/>
      <c r="AV127" s="49"/>
      <c r="AW127" s="49"/>
      <c r="AX127" s="49"/>
      <c r="AY127" s="49"/>
      <c r="AZ127" s="73">
        <f t="shared" si="43"/>
        <v>0</v>
      </c>
    </row>
    <row r="128" spans="1:53" ht="20.100000000000001" customHeight="1">
      <c r="A128" s="68"/>
      <c r="B128" s="69"/>
      <c r="C128" s="240" t="s">
        <v>285</v>
      </c>
      <c r="D128" s="240"/>
      <c r="E128" s="241"/>
      <c r="F128" s="70"/>
      <c r="G128" s="71"/>
      <c r="H128" s="71"/>
      <c r="I128" s="240" t="s">
        <v>145</v>
      </c>
      <c r="J128" s="240"/>
      <c r="K128" s="241"/>
      <c r="L128" s="49"/>
      <c r="M128" s="49"/>
      <c r="N128" s="49"/>
      <c r="O128" s="49"/>
      <c r="P128" s="49"/>
      <c r="Q128" s="49"/>
      <c r="R128" s="72"/>
      <c r="S128" s="49"/>
      <c r="T128" s="49">
        <v>0</v>
      </c>
      <c r="U128" s="49"/>
      <c r="V128" s="49"/>
      <c r="W128" s="49"/>
      <c r="X128" s="49"/>
      <c r="Y128" s="49"/>
      <c r="Z128" s="49"/>
      <c r="AA128" s="49"/>
      <c r="AB128" s="49"/>
      <c r="AC128" s="49">
        <f t="shared" si="60"/>
        <v>0</v>
      </c>
      <c r="AD128" s="49"/>
      <c r="AE128" s="49"/>
      <c r="AF128" s="49"/>
      <c r="AG128" s="49"/>
      <c r="AH128" s="49"/>
      <c r="AI128" s="49"/>
      <c r="AJ128" s="49"/>
      <c r="AK128" s="49"/>
      <c r="AL128" s="49"/>
      <c r="AM128" s="49"/>
      <c r="AN128" s="49"/>
      <c r="AO128" s="49"/>
      <c r="AP128" s="49"/>
      <c r="AQ128" s="49"/>
      <c r="AR128" s="49"/>
      <c r="AS128" s="49"/>
      <c r="AT128" s="49"/>
      <c r="AU128" s="49"/>
      <c r="AV128" s="49"/>
      <c r="AW128" s="49"/>
      <c r="AX128" s="49"/>
      <c r="AY128" s="49"/>
      <c r="AZ128" s="73">
        <f t="shared" si="43"/>
        <v>0</v>
      </c>
    </row>
    <row r="129" spans="1:52" ht="20.100000000000001" customHeight="1">
      <c r="A129" s="68"/>
      <c r="B129" s="69"/>
      <c r="C129" s="240" t="s">
        <v>286</v>
      </c>
      <c r="D129" s="240"/>
      <c r="E129" s="241"/>
      <c r="F129" s="70"/>
      <c r="G129" s="71"/>
      <c r="H129" s="71"/>
      <c r="I129" s="71"/>
      <c r="J129" s="240" t="s">
        <v>147</v>
      </c>
      <c r="K129" s="241"/>
      <c r="L129" s="49">
        <v>855800</v>
      </c>
      <c r="M129" s="49">
        <v>855800</v>
      </c>
      <c r="N129" s="49">
        <v>854900</v>
      </c>
      <c r="O129" s="49"/>
      <c r="P129" s="49"/>
      <c r="Q129" s="49">
        <f>SUM(N129:P129)</f>
        <v>854900</v>
      </c>
      <c r="R129" s="72">
        <f>Q129/M129*100</f>
        <v>99.894835241878937</v>
      </c>
      <c r="S129" s="49">
        <f>M129-Q129</f>
        <v>900</v>
      </c>
      <c r="T129" s="49">
        <v>0</v>
      </c>
      <c r="U129" s="49">
        <f>T129+M129</f>
        <v>855800</v>
      </c>
      <c r="V129" s="49">
        <f>T129+S129</f>
        <v>900</v>
      </c>
      <c r="W129" s="49"/>
      <c r="X129" s="49"/>
      <c r="Y129" s="49"/>
      <c r="Z129" s="49"/>
      <c r="AA129" s="49">
        <v>0</v>
      </c>
      <c r="AB129" s="49">
        <v>855800</v>
      </c>
      <c r="AC129" s="49">
        <f t="shared" si="60"/>
        <v>0</v>
      </c>
      <c r="AD129" s="49">
        <f>AA129+T129+M129</f>
        <v>855800</v>
      </c>
      <c r="AE129" s="49"/>
      <c r="AF129" s="49"/>
      <c r="AG129" s="49"/>
      <c r="AH129" s="49"/>
      <c r="AI129" s="49"/>
      <c r="AJ129" s="49"/>
      <c r="AK129" s="49">
        <f>Z129+Y129+X129+W129+N129+AG129+AJ129+AI129+AH129</f>
        <v>854900</v>
      </c>
      <c r="AL129" s="49">
        <f>AK129/AD129*100</f>
        <v>99.894835241878937</v>
      </c>
      <c r="AM129" s="49"/>
      <c r="AN129" s="49"/>
      <c r="AO129" s="49"/>
      <c r="AP129" s="49"/>
      <c r="AQ129" s="49">
        <f>AK129+AM129+AN129+AO129+AP129</f>
        <v>854900</v>
      </c>
      <c r="AR129" s="49">
        <f>AQ129/AB129*100</f>
        <v>99.894835241878937</v>
      </c>
      <c r="AS129" s="49">
        <f>AB129-AQ129</f>
        <v>900</v>
      </c>
      <c r="AT129" s="49">
        <v>3091500</v>
      </c>
      <c r="AU129" s="49">
        <f>AT129+U129</f>
        <v>3947300</v>
      </c>
      <c r="AV129" s="49">
        <f>AK129</f>
        <v>854900</v>
      </c>
      <c r="AW129" s="72">
        <f>AV129/AU129*100</f>
        <v>21.657842069262536</v>
      </c>
      <c r="AX129" s="49">
        <f>AU129-AV129</f>
        <v>3092400</v>
      </c>
      <c r="AY129" s="49">
        <f>AS129/AB129*100</f>
        <v>0.10516475812105631</v>
      </c>
      <c r="AZ129" s="73">
        <f t="shared" si="43"/>
        <v>854900</v>
      </c>
    </row>
    <row r="130" spans="1:52" ht="20.100000000000001" customHeight="1">
      <c r="A130" s="68"/>
      <c r="B130" s="69"/>
      <c r="C130" s="240" t="s">
        <v>287</v>
      </c>
      <c r="D130" s="240"/>
      <c r="E130" s="241"/>
      <c r="F130" s="70"/>
      <c r="G130" s="71"/>
      <c r="H130" s="71"/>
      <c r="I130" s="240" t="s">
        <v>151</v>
      </c>
      <c r="J130" s="240"/>
      <c r="K130" s="241"/>
      <c r="L130" s="49"/>
      <c r="M130" s="49"/>
      <c r="N130" s="49"/>
      <c r="O130" s="49"/>
      <c r="P130" s="49"/>
      <c r="Q130" s="49"/>
      <c r="R130" s="72"/>
      <c r="S130" s="49"/>
      <c r="T130" s="49">
        <v>0</v>
      </c>
      <c r="U130" s="49"/>
      <c r="V130" s="49"/>
      <c r="W130" s="49"/>
      <c r="X130" s="49"/>
      <c r="Y130" s="49"/>
      <c r="Z130" s="49"/>
      <c r="AA130" s="49"/>
      <c r="AB130" s="49"/>
      <c r="AC130" s="49">
        <f t="shared" si="60"/>
        <v>0</v>
      </c>
      <c r="AD130" s="49"/>
      <c r="AE130" s="49"/>
      <c r="AF130" s="49"/>
      <c r="AG130" s="49"/>
      <c r="AH130" s="49"/>
      <c r="AI130" s="49"/>
      <c r="AJ130" s="49"/>
      <c r="AK130" s="49"/>
      <c r="AL130" s="49"/>
      <c r="AM130" s="49"/>
      <c r="AN130" s="49"/>
      <c r="AO130" s="49"/>
      <c r="AP130" s="49"/>
      <c r="AQ130" s="49"/>
      <c r="AR130" s="49"/>
      <c r="AS130" s="49"/>
      <c r="AT130" s="49"/>
      <c r="AU130" s="49"/>
      <c r="AV130" s="49"/>
      <c r="AW130" s="49"/>
      <c r="AX130" s="49"/>
      <c r="AY130" s="49"/>
      <c r="AZ130" s="73">
        <f t="shared" si="43"/>
        <v>0</v>
      </c>
    </row>
    <row r="131" spans="1:52" ht="20.100000000000001" customHeight="1">
      <c r="A131" s="68"/>
      <c r="B131" s="69"/>
      <c r="C131" s="240" t="s">
        <v>288</v>
      </c>
      <c r="D131" s="240"/>
      <c r="E131" s="241"/>
      <c r="F131" s="70"/>
      <c r="G131" s="71"/>
      <c r="H131" s="71"/>
      <c r="I131" s="71"/>
      <c r="J131" s="240" t="s">
        <v>155</v>
      </c>
      <c r="K131" s="241"/>
      <c r="L131" s="49">
        <v>437500</v>
      </c>
      <c r="M131" s="49">
        <v>437500</v>
      </c>
      <c r="N131" s="49">
        <v>437500</v>
      </c>
      <c r="O131" s="49"/>
      <c r="P131" s="49"/>
      <c r="Q131" s="49">
        <f>SUM(N131:P131)</f>
        <v>437500</v>
      </c>
      <c r="R131" s="72">
        <f>Q131/M131*100</f>
        <v>100</v>
      </c>
      <c r="S131" s="49">
        <f>M131-Q131</f>
        <v>0</v>
      </c>
      <c r="T131" s="49">
        <v>0</v>
      </c>
      <c r="U131" s="49">
        <f>T131+M131</f>
        <v>437500</v>
      </c>
      <c r="V131" s="49">
        <f>T131+S131</f>
        <v>0</v>
      </c>
      <c r="W131" s="49"/>
      <c r="X131" s="49"/>
      <c r="Y131" s="49"/>
      <c r="Z131" s="49"/>
      <c r="AA131" s="49">
        <v>0</v>
      </c>
      <c r="AB131" s="49">
        <v>437500</v>
      </c>
      <c r="AC131" s="49">
        <f t="shared" si="60"/>
        <v>0</v>
      </c>
      <c r="AD131" s="49">
        <f>AA131+T131+M131</f>
        <v>437500</v>
      </c>
      <c r="AE131" s="49"/>
      <c r="AF131" s="49"/>
      <c r="AG131" s="49"/>
      <c r="AH131" s="49"/>
      <c r="AI131" s="49"/>
      <c r="AJ131" s="49"/>
      <c r="AK131" s="49">
        <f>Z131+Y131+X131+W131+N131+AG131+AJ131+AI131+AH131</f>
        <v>437500</v>
      </c>
      <c r="AL131" s="49">
        <f>AK131/AD131*100</f>
        <v>100</v>
      </c>
      <c r="AM131" s="49"/>
      <c r="AN131" s="49"/>
      <c r="AO131" s="49"/>
      <c r="AP131" s="49"/>
      <c r="AQ131" s="49">
        <f>AK131+AM131+AN131+AO131+AP131</f>
        <v>437500</v>
      </c>
      <c r="AR131" s="49">
        <f>AQ131/AB131*100</f>
        <v>100</v>
      </c>
      <c r="AS131" s="49">
        <f>AB131-AQ131</f>
        <v>0</v>
      </c>
      <c r="AT131" s="49">
        <v>3091500</v>
      </c>
      <c r="AU131" s="49">
        <f>AT131+U131</f>
        <v>3529000</v>
      </c>
      <c r="AV131" s="49">
        <f>AK131</f>
        <v>437500</v>
      </c>
      <c r="AW131" s="72">
        <f>AV131/AU131*100</f>
        <v>12.397279682629641</v>
      </c>
      <c r="AX131" s="49">
        <f>AU131-AV131</f>
        <v>3091500</v>
      </c>
      <c r="AY131" s="49">
        <f>AS131/AB131*100</f>
        <v>0</v>
      </c>
      <c r="AZ131" s="73">
        <f t="shared" si="43"/>
        <v>437500</v>
      </c>
    </row>
    <row r="132" spans="1:52" ht="20.100000000000001" customHeight="1">
      <c r="A132" s="68"/>
      <c r="B132" s="69"/>
      <c r="C132" s="240" t="s">
        <v>289</v>
      </c>
      <c r="D132" s="240"/>
      <c r="E132" s="241"/>
      <c r="F132" s="70"/>
      <c r="G132" s="71"/>
      <c r="H132" s="71"/>
      <c r="I132" s="240" t="s">
        <v>193</v>
      </c>
      <c r="J132" s="240"/>
      <c r="K132" s="241"/>
      <c r="L132" s="49"/>
      <c r="M132" s="49"/>
      <c r="N132" s="49"/>
      <c r="O132" s="49"/>
      <c r="P132" s="49"/>
      <c r="Q132" s="49"/>
      <c r="R132" s="72"/>
      <c r="S132" s="49"/>
      <c r="T132" s="49">
        <v>0</v>
      </c>
      <c r="U132" s="49"/>
      <c r="V132" s="49"/>
      <c r="W132" s="49"/>
      <c r="X132" s="49"/>
      <c r="Y132" s="49"/>
      <c r="Z132" s="49"/>
      <c r="AA132" s="49">
        <v>0</v>
      </c>
      <c r="AB132" s="49"/>
      <c r="AC132" s="49">
        <f t="shared" si="60"/>
        <v>0</v>
      </c>
      <c r="AD132" s="49"/>
      <c r="AE132" s="49"/>
      <c r="AF132" s="49"/>
      <c r="AG132" s="49"/>
      <c r="AH132" s="49"/>
      <c r="AI132" s="49"/>
      <c r="AJ132" s="49"/>
      <c r="AK132" s="49"/>
      <c r="AL132" s="49"/>
      <c r="AM132" s="49"/>
      <c r="AN132" s="49"/>
      <c r="AO132" s="49"/>
      <c r="AP132" s="49"/>
      <c r="AQ132" s="49"/>
      <c r="AR132" s="49"/>
      <c r="AS132" s="49"/>
      <c r="AT132" s="49"/>
      <c r="AU132" s="49"/>
      <c r="AV132" s="49"/>
      <c r="AW132" s="49"/>
      <c r="AX132" s="49"/>
      <c r="AY132" s="49"/>
      <c r="AZ132" s="73">
        <f t="shared" si="43"/>
        <v>0</v>
      </c>
    </row>
    <row r="133" spans="1:52" ht="20.100000000000001" customHeight="1">
      <c r="A133" s="68"/>
      <c r="B133" s="69"/>
      <c r="C133" s="240" t="s">
        <v>290</v>
      </c>
      <c r="D133" s="240"/>
      <c r="E133" s="241"/>
      <c r="F133" s="70"/>
      <c r="G133" s="71"/>
      <c r="H133" s="71"/>
      <c r="I133" s="71"/>
      <c r="J133" s="240" t="s">
        <v>195</v>
      </c>
      <c r="K133" s="241"/>
      <c r="L133" s="49">
        <v>1237500</v>
      </c>
      <c r="M133" s="49">
        <v>1237500</v>
      </c>
      <c r="N133" s="49">
        <f>550000+412500</f>
        <v>962500</v>
      </c>
      <c r="O133" s="49"/>
      <c r="P133" s="49"/>
      <c r="Q133" s="49">
        <f>SUM(N133:P133)</f>
        <v>962500</v>
      </c>
      <c r="R133" s="72">
        <f>Q133/M133*100</f>
        <v>77.777777777777786</v>
      </c>
      <c r="S133" s="49">
        <f>M133-Q133</f>
        <v>275000</v>
      </c>
      <c r="T133" s="49">
        <v>0</v>
      </c>
      <c r="U133" s="49">
        <f>T133+M133</f>
        <v>1237500</v>
      </c>
      <c r="V133" s="49">
        <f>T133+S133</f>
        <v>275000</v>
      </c>
      <c r="W133" s="49"/>
      <c r="X133" s="49"/>
      <c r="Y133" s="49"/>
      <c r="Z133" s="49"/>
      <c r="AA133" s="49">
        <v>0</v>
      </c>
      <c r="AB133" s="49">
        <v>1237500</v>
      </c>
      <c r="AC133" s="49">
        <f t="shared" si="60"/>
        <v>0</v>
      </c>
      <c r="AD133" s="49">
        <f>AA133+T133+M133</f>
        <v>1237500</v>
      </c>
      <c r="AE133" s="49"/>
      <c r="AF133" s="49"/>
      <c r="AG133" s="49">
        <v>187500</v>
      </c>
      <c r="AH133" s="49"/>
      <c r="AI133" s="49"/>
      <c r="AJ133" s="49"/>
      <c r="AK133" s="49">
        <f>Z133+Y133+X133+W133+N133+AG133+AJ133+AI133+AH133</f>
        <v>1150000</v>
      </c>
      <c r="AL133" s="49">
        <f>AK133/AD133*100</f>
        <v>92.929292929292927</v>
      </c>
      <c r="AM133" s="49"/>
      <c r="AN133" s="49"/>
      <c r="AO133" s="49"/>
      <c r="AP133" s="49"/>
      <c r="AQ133" s="49">
        <f>AK133+AM133+AN133+AO133+AP133</f>
        <v>1150000</v>
      </c>
      <c r="AR133" s="49">
        <f>AQ133/AB133*100</f>
        <v>92.929292929292927</v>
      </c>
      <c r="AS133" s="49">
        <f>AB133-AQ133</f>
        <v>87500</v>
      </c>
      <c r="AT133" s="49">
        <v>3091500</v>
      </c>
      <c r="AU133" s="49">
        <f>AT133+U133</f>
        <v>4329000</v>
      </c>
      <c r="AV133" s="49">
        <f>AK133</f>
        <v>1150000</v>
      </c>
      <c r="AW133" s="72">
        <f>AV133/AU133*100</f>
        <v>26.565026565026567</v>
      </c>
      <c r="AX133" s="49">
        <f>AU133-AV133</f>
        <v>3179000</v>
      </c>
      <c r="AY133" s="49">
        <f>AS133/AB133*100</f>
        <v>7.0707070707070701</v>
      </c>
      <c r="AZ133" s="73">
        <f t="shared" si="43"/>
        <v>1150000</v>
      </c>
    </row>
    <row r="134" spans="1:52" ht="20.100000000000001" customHeight="1">
      <c r="A134" s="68"/>
      <c r="B134" s="69"/>
      <c r="C134" s="240" t="s">
        <v>291</v>
      </c>
      <c r="D134" s="240"/>
      <c r="E134" s="241"/>
      <c r="F134" s="70"/>
      <c r="G134" s="71"/>
      <c r="H134" s="71"/>
      <c r="I134" s="240" t="s">
        <v>157</v>
      </c>
      <c r="J134" s="240"/>
      <c r="K134" s="241"/>
      <c r="L134" s="49"/>
      <c r="M134" s="49"/>
      <c r="N134" s="49"/>
      <c r="O134" s="49"/>
      <c r="P134" s="49"/>
      <c r="Q134" s="49"/>
      <c r="R134" s="72"/>
      <c r="S134" s="49"/>
      <c r="T134" s="49"/>
      <c r="U134" s="49"/>
      <c r="V134" s="49"/>
      <c r="W134" s="49"/>
      <c r="X134" s="49"/>
      <c r="Y134" s="49"/>
      <c r="Z134" s="49"/>
      <c r="AA134" s="49"/>
      <c r="AB134" s="49"/>
      <c r="AC134" s="49">
        <f t="shared" si="60"/>
        <v>0</v>
      </c>
      <c r="AD134" s="49"/>
      <c r="AE134" s="49"/>
      <c r="AF134" s="49"/>
      <c r="AG134" s="49"/>
      <c r="AH134" s="49"/>
      <c r="AI134" s="49"/>
      <c r="AJ134" s="49"/>
      <c r="AK134" s="49"/>
      <c r="AL134" s="49"/>
      <c r="AM134" s="49"/>
      <c r="AN134" s="49"/>
      <c r="AO134" s="49"/>
      <c r="AP134" s="49"/>
      <c r="AQ134" s="49"/>
      <c r="AR134" s="49"/>
      <c r="AS134" s="49"/>
      <c r="AT134" s="49"/>
      <c r="AU134" s="49"/>
      <c r="AV134" s="49"/>
      <c r="AW134" s="49"/>
      <c r="AX134" s="49"/>
      <c r="AY134" s="49"/>
      <c r="AZ134" s="73">
        <f t="shared" si="43"/>
        <v>0</v>
      </c>
    </row>
    <row r="135" spans="1:52" ht="20.100000000000001" customHeight="1">
      <c r="A135" s="68"/>
      <c r="B135" s="69"/>
      <c r="C135" s="240" t="s">
        <v>292</v>
      </c>
      <c r="D135" s="240"/>
      <c r="E135" s="241"/>
      <c r="F135" s="70"/>
      <c r="G135" s="71"/>
      <c r="H135" s="71"/>
      <c r="I135" s="71"/>
      <c r="J135" s="240" t="s">
        <v>207</v>
      </c>
      <c r="K135" s="241"/>
      <c r="L135" s="49">
        <v>4569200</v>
      </c>
      <c r="M135" s="49">
        <v>2284600</v>
      </c>
      <c r="N135" s="49"/>
      <c r="O135" s="49"/>
      <c r="P135" s="49"/>
      <c r="Q135" s="49">
        <f>SUM(N135:P135)</f>
        <v>0</v>
      </c>
      <c r="R135" s="72">
        <f>Q135/M135*100</f>
        <v>0</v>
      </c>
      <c r="S135" s="49">
        <f>M135-Q135</f>
        <v>2284600</v>
      </c>
      <c r="T135" s="49">
        <v>2284600</v>
      </c>
      <c r="U135" s="49">
        <f>T135+M135</f>
        <v>4569200</v>
      </c>
      <c r="V135" s="49">
        <f>T135+S135</f>
        <v>4569200</v>
      </c>
      <c r="W135" s="49">
        <v>2248250</v>
      </c>
      <c r="X135" s="49"/>
      <c r="Y135" s="49"/>
      <c r="Z135" s="49"/>
      <c r="AA135" s="49">
        <v>0</v>
      </c>
      <c r="AB135" s="49">
        <v>4569200</v>
      </c>
      <c r="AC135" s="49">
        <f t="shared" si="60"/>
        <v>0</v>
      </c>
      <c r="AD135" s="49">
        <f>AA135+T135+M135</f>
        <v>4569200</v>
      </c>
      <c r="AE135" s="49"/>
      <c r="AF135" s="49"/>
      <c r="AG135" s="49">
        <v>2172900</v>
      </c>
      <c r="AH135" s="49"/>
      <c r="AI135" s="49"/>
      <c r="AJ135" s="49"/>
      <c r="AK135" s="49">
        <f>Z135+Y135+X135+W135+N135+AG135+AJ135+AI135+AH135</f>
        <v>4421150</v>
      </c>
      <c r="AL135" s="49">
        <f>AK135/AD135*100</f>
        <v>96.759826665499432</v>
      </c>
      <c r="AM135" s="49"/>
      <c r="AN135" s="49"/>
      <c r="AO135" s="49"/>
      <c r="AP135" s="49"/>
      <c r="AQ135" s="49">
        <f>AK135+AM135+AN135+AO135+AP135</f>
        <v>4421150</v>
      </c>
      <c r="AR135" s="49">
        <f>AQ135/AB135*100</f>
        <v>96.759826665499432</v>
      </c>
      <c r="AS135" s="49">
        <f>AB135-AQ135</f>
        <v>148050</v>
      </c>
      <c r="AT135" s="49">
        <v>3091500</v>
      </c>
      <c r="AU135" s="49">
        <f>AT135+U135</f>
        <v>7660700</v>
      </c>
      <c r="AV135" s="49">
        <f>AK135</f>
        <v>4421150</v>
      </c>
      <c r="AW135" s="72">
        <f>AV135/AU135*100</f>
        <v>57.712088973592493</v>
      </c>
      <c r="AX135" s="49">
        <f>AU135-AV135</f>
        <v>3239550</v>
      </c>
      <c r="AY135" s="49">
        <f>AS135/AB135*100</f>
        <v>3.2401733345005694</v>
      </c>
      <c r="AZ135" s="73">
        <f t="shared" si="43"/>
        <v>4421150</v>
      </c>
    </row>
    <row r="136" spans="1:52" ht="20.100000000000001" customHeight="1">
      <c r="A136" s="60" t="s">
        <v>293</v>
      </c>
      <c r="B136" s="75"/>
      <c r="C136" s="247" t="s">
        <v>294</v>
      </c>
      <c r="D136" s="247"/>
      <c r="E136" s="248"/>
      <c r="F136" s="249" t="s">
        <v>295</v>
      </c>
      <c r="G136" s="250"/>
      <c r="H136" s="250"/>
      <c r="I136" s="250"/>
      <c r="J136" s="250"/>
      <c r="K136" s="251"/>
      <c r="L136" s="48">
        <f>L137</f>
        <v>24000000</v>
      </c>
      <c r="M136" s="48">
        <f t="shared" ref="M136:AK136" si="66">M137</f>
        <v>5004500</v>
      </c>
      <c r="N136" s="48">
        <f t="shared" si="66"/>
        <v>3215000</v>
      </c>
      <c r="O136" s="48">
        <f t="shared" si="66"/>
        <v>0</v>
      </c>
      <c r="P136" s="48">
        <f t="shared" si="66"/>
        <v>0</v>
      </c>
      <c r="Q136" s="48">
        <f>SUM(N136:P136)</f>
        <v>3215000</v>
      </c>
      <c r="R136" s="61">
        <f>Q136/M136*100</f>
        <v>64.242182036167449</v>
      </c>
      <c r="S136" s="48">
        <f>M136-Q136</f>
        <v>1789500</v>
      </c>
      <c r="T136" s="48">
        <f t="shared" si="66"/>
        <v>7572500</v>
      </c>
      <c r="U136" s="48">
        <f>T136+M136</f>
        <v>12577000</v>
      </c>
      <c r="V136" s="48">
        <f>T136+S136</f>
        <v>9362000</v>
      </c>
      <c r="W136" s="48">
        <f t="shared" si="66"/>
        <v>4209950</v>
      </c>
      <c r="X136" s="48">
        <f t="shared" si="66"/>
        <v>0</v>
      </c>
      <c r="Y136" s="48">
        <f t="shared" si="66"/>
        <v>0</v>
      </c>
      <c r="Z136" s="48"/>
      <c r="AA136" s="48">
        <v>6717500</v>
      </c>
      <c r="AB136" s="48">
        <f>AB137</f>
        <v>24000000</v>
      </c>
      <c r="AC136" s="48">
        <f t="shared" si="60"/>
        <v>0</v>
      </c>
      <c r="AD136" s="48">
        <f>AA136+T136+M136</f>
        <v>19294500</v>
      </c>
      <c r="AE136" s="48">
        <f t="shared" si="66"/>
        <v>0</v>
      </c>
      <c r="AF136" s="48">
        <f t="shared" si="66"/>
        <v>0</v>
      </c>
      <c r="AG136" s="48">
        <f t="shared" si="66"/>
        <v>6218575</v>
      </c>
      <c r="AH136" s="48">
        <f t="shared" si="66"/>
        <v>0</v>
      </c>
      <c r="AI136" s="48">
        <f t="shared" si="66"/>
        <v>0</v>
      </c>
      <c r="AJ136" s="48">
        <f t="shared" si="66"/>
        <v>2450000</v>
      </c>
      <c r="AK136" s="48">
        <f t="shared" si="66"/>
        <v>16093525</v>
      </c>
      <c r="AL136" s="48">
        <f>AK136/AB136*100</f>
        <v>67.056354166666665</v>
      </c>
      <c r="AM136" s="48">
        <f>AM137</f>
        <v>0</v>
      </c>
      <c r="AN136" s="48">
        <f>AN137</f>
        <v>0</v>
      </c>
      <c r="AO136" s="48">
        <f>AO137</f>
        <v>1350000</v>
      </c>
      <c r="AP136" s="48">
        <f>AP137</f>
        <v>0</v>
      </c>
      <c r="AQ136" s="48">
        <f>AK136+AM136+AN136+AO136+AP136</f>
        <v>17443525</v>
      </c>
      <c r="AR136" s="48">
        <f>AQ136/AB136*100</f>
        <v>72.681354166666665</v>
      </c>
      <c r="AS136" s="48">
        <f>AB136-AQ136</f>
        <v>6556475</v>
      </c>
      <c r="AT136" s="48">
        <v>120767500</v>
      </c>
      <c r="AU136" s="48">
        <f>AT136+U136</f>
        <v>133344500</v>
      </c>
      <c r="AV136" s="48">
        <f>AK136</f>
        <v>16093525</v>
      </c>
      <c r="AW136" s="61">
        <f>AV136/AU136*100</f>
        <v>12.06913296011459</v>
      </c>
      <c r="AX136" s="48">
        <f>AU136-AV136</f>
        <v>117250975</v>
      </c>
      <c r="AY136" s="48">
        <f>AS136/AB136*100</f>
        <v>27.318645833333331</v>
      </c>
      <c r="AZ136" s="73">
        <f t="shared" si="43"/>
        <v>16093525</v>
      </c>
    </row>
    <row r="137" spans="1:52" ht="20.100000000000001" customHeight="1">
      <c r="A137" s="62">
        <v>12</v>
      </c>
      <c r="B137" s="63"/>
      <c r="C137" s="242" t="s">
        <v>296</v>
      </c>
      <c r="D137" s="242"/>
      <c r="E137" s="243"/>
      <c r="F137" s="64"/>
      <c r="G137" s="244" t="s">
        <v>297</v>
      </c>
      <c r="H137" s="244"/>
      <c r="I137" s="244"/>
      <c r="J137" s="244"/>
      <c r="K137" s="245"/>
      <c r="L137" s="65">
        <f>SUM(L138:L153)</f>
        <v>24000000</v>
      </c>
      <c r="M137" s="65">
        <f>SUM(M138:M153)</f>
        <v>5004500</v>
      </c>
      <c r="N137" s="65">
        <f>SUM(N138:N153)</f>
        <v>3215000</v>
      </c>
      <c r="O137" s="65">
        <f>SUM(O138:O153)</f>
        <v>0</v>
      </c>
      <c r="P137" s="65">
        <f>SUM(P138:P153)</f>
        <v>0</v>
      </c>
      <c r="Q137" s="65">
        <f>SUM(N137:P137)</f>
        <v>3215000</v>
      </c>
      <c r="R137" s="66">
        <f>Q137/M137*100</f>
        <v>64.242182036167449</v>
      </c>
      <c r="S137" s="65">
        <f>M137-Q137</f>
        <v>1789500</v>
      </c>
      <c r="T137" s="65">
        <f>SUM(T138:T153)</f>
        <v>7572500</v>
      </c>
      <c r="U137" s="65">
        <f>T137+M137</f>
        <v>12577000</v>
      </c>
      <c r="V137" s="65">
        <f>T137+S137</f>
        <v>9362000</v>
      </c>
      <c r="W137" s="65">
        <f>SUM(W138:W153)</f>
        <v>4209950</v>
      </c>
      <c r="X137" s="65">
        <f>SUM(X138:X153)</f>
        <v>0</v>
      </c>
      <c r="Y137" s="65">
        <f>SUM(Y138:Y153)</f>
        <v>0</v>
      </c>
      <c r="Z137" s="65"/>
      <c r="AA137" s="65">
        <f>SUM(AA138:AA153)</f>
        <v>6717500</v>
      </c>
      <c r="AB137" s="65">
        <f>SUM(AB138:AB153)</f>
        <v>24000000</v>
      </c>
      <c r="AC137" s="65">
        <f t="shared" si="60"/>
        <v>0</v>
      </c>
      <c r="AD137" s="65">
        <f>AA137+T137+M137</f>
        <v>19294500</v>
      </c>
      <c r="AE137" s="65">
        <f t="shared" ref="AE137:AK137" si="67">SUM(AE138:AE153)</f>
        <v>0</v>
      </c>
      <c r="AF137" s="65">
        <f t="shared" si="67"/>
        <v>0</v>
      </c>
      <c r="AG137" s="65">
        <f t="shared" si="67"/>
        <v>6218575</v>
      </c>
      <c r="AH137" s="65">
        <f t="shared" si="67"/>
        <v>0</v>
      </c>
      <c r="AI137" s="65">
        <f t="shared" si="67"/>
        <v>0</v>
      </c>
      <c r="AJ137" s="65">
        <f t="shared" si="67"/>
        <v>2450000</v>
      </c>
      <c r="AK137" s="65">
        <f t="shared" si="67"/>
        <v>16093525</v>
      </c>
      <c r="AL137" s="65">
        <f>AK137/AB137*100</f>
        <v>67.056354166666665</v>
      </c>
      <c r="AM137" s="65">
        <f>SUM(AM138:AM153)</f>
        <v>0</v>
      </c>
      <c r="AN137" s="65">
        <f>SUM(AN138:AN153)</f>
        <v>0</v>
      </c>
      <c r="AO137" s="42">
        <f>SUM(AO138:AO153)</f>
        <v>1350000</v>
      </c>
      <c r="AP137" s="65">
        <f>SUM(AP138:AP153)</f>
        <v>0</v>
      </c>
      <c r="AQ137" s="65">
        <f>AK137+AM137+AN137+AO137+AP137</f>
        <v>17443525</v>
      </c>
      <c r="AR137" s="65">
        <f>AQ137/AB137*100</f>
        <v>72.681354166666665</v>
      </c>
      <c r="AS137" s="65">
        <f>AB137-AQ137</f>
        <v>6556475</v>
      </c>
      <c r="AT137" s="65">
        <f>SUM(AT140:AT146)</f>
        <v>9274500</v>
      </c>
      <c r="AU137" s="65">
        <f>AT137+U137</f>
        <v>21851500</v>
      </c>
      <c r="AV137" s="65">
        <f>AK137</f>
        <v>16093525</v>
      </c>
      <c r="AW137" s="66">
        <f>AV137/AU137*100</f>
        <v>73.649520627874523</v>
      </c>
      <c r="AX137" s="65">
        <f>AU137-AV137</f>
        <v>5757975</v>
      </c>
      <c r="AY137" s="65">
        <f>AS137/AB137*100</f>
        <v>27.318645833333331</v>
      </c>
      <c r="AZ137" s="67">
        <f t="shared" si="43"/>
        <v>16093525</v>
      </c>
    </row>
    <row r="138" spans="1:52" ht="20.100000000000001" customHeight="1">
      <c r="A138" s="68"/>
      <c r="B138" s="69"/>
      <c r="C138" s="240" t="s">
        <v>298</v>
      </c>
      <c r="D138" s="240"/>
      <c r="E138" s="241"/>
      <c r="F138" s="70"/>
      <c r="G138" s="71"/>
      <c r="H138" s="240" t="s">
        <v>10</v>
      </c>
      <c r="I138" s="240"/>
      <c r="J138" s="240"/>
      <c r="K138" s="241"/>
      <c r="L138" s="49"/>
      <c r="M138" s="49"/>
      <c r="N138" s="49"/>
      <c r="O138" s="49"/>
      <c r="P138" s="49"/>
      <c r="Q138" s="49"/>
      <c r="R138" s="72"/>
      <c r="S138" s="49"/>
      <c r="T138" s="49"/>
      <c r="U138" s="49"/>
      <c r="V138" s="49"/>
      <c r="W138" s="49"/>
      <c r="X138" s="49"/>
      <c r="Y138" s="49"/>
      <c r="Z138" s="49"/>
      <c r="AA138" s="49"/>
      <c r="AB138" s="49"/>
      <c r="AC138" s="49">
        <f t="shared" si="60"/>
        <v>0</v>
      </c>
      <c r="AD138" s="49"/>
      <c r="AE138" s="49"/>
      <c r="AF138" s="49"/>
      <c r="AG138" s="49"/>
      <c r="AH138" s="49"/>
      <c r="AI138" s="49"/>
      <c r="AJ138" s="49"/>
      <c r="AK138" s="49"/>
      <c r="AL138" s="49"/>
      <c r="AM138" s="49"/>
      <c r="AN138" s="49"/>
      <c r="AO138" s="49"/>
      <c r="AP138" s="49"/>
      <c r="AQ138" s="49"/>
      <c r="AR138" s="49"/>
      <c r="AS138" s="49"/>
      <c r="AT138" s="49"/>
      <c r="AU138" s="49"/>
      <c r="AV138" s="49"/>
      <c r="AW138" s="49"/>
      <c r="AX138" s="49"/>
      <c r="AY138" s="49"/>
      <c r="AZ138" s="73">
        <f t="shared" si="43"/>
        <v>0</v>
      </c>
    </row>
    <row r="139" spans="1:52" ht="20.100000000000001" customHeight="1">
      <c r="A139" s="68"/>
      <c r="B139" s="69"/>
      <c r="C139" s="240" t="s">
        <v>299</v>
      </c>
      <c r="D139" s="240"/>
      <c r="E139" s="241"/>
      <c r="F139" s="70"/>
      <c r="G139" s="71"/>
      <c r="H139" s="71"/>
      <c r="I139" s="240" t="s">
        <v>177</v>
      </c>
      <c r="J139" s="240"/>
      <c r="K139" s="241"/>
      <c r="L139" s="49"/>
      <c r="M139" s="49"/>
      <c r="N139" s="49"/>
      <c r="O139" s="49"/>
      <c r="P139" s="49"/>
      <c r="Q139" s="49"/>
      <c r="R139" s="72"/>
      <c r="S139" s="49"/>
      <c r="T139" s="49"/>
      <c r="U139" s="49"/>
      <c r="V139" s="49"/>
      <c r="W139" s="49"/>
      <c r="X139" s="49"/>
      <c r="Y139" s="49"/>
      <c r="Z139" s="49"/>
      <c r="AA139" s="49"/>
      <c r="AB139" s="49"/>
      <c r="AC139" s="49">
        <f t="shared" si="60"/>
        <v>0</v>
      </c>
      <c r="AD139" s="49"/>
      <c r="AE139" s="49"/>
      <c r="AF139" s="49"/>
      <c r="AG139" s="49"/>
      <c r="AH139" s="49"/>
      <c r="AI139" s="49"/>
      <c r="AJ139" s="49"/>
      <c r="AK139" s="49"/>
      <c r="AL139" s="49"/>
      <c r="AM139" s="49"/>
      <c r="AN139" s="49"/>
      <c r="AO139" s="49"/>
      <c r="AP139" s="49"/>
      <c r="AQ139" s="49"/>
      <c r="AR139" s="49"/>
      <c r="AS139" s="49"/>
      <c r="AT139" s="49"/>
      <c r="AU139" s="49"/>
      <c r="AV139" s="49"/>
      <c r="AW139" s="49"/>
      <c r="AX139" s="49"/>
      <c r="AY139" s="49"/>
      <c r="AZ139" s="73">
        <f t="shared" si="43"/>
        <v>0</v>
      </c>
    </row>
    <row r="140" spans="1:52" ht="20.100000000000001" customHeight="1">
      <c r="A140" s="68"/>
      <c r="B140" s="69"/>
      <c r="C140" s="240" t="s">
        <v>300</v>
      </c>
      <c r="D140" s="240"/>
      <c r="E140" s="241"/>
      <c r="F140" s="70"/>
      <c r="G140" s="71"/>
      <c r="H140" s="71"/>
      <c r="I140" s="71"/>
      <c r="J140" s="240" t="s">
        <v>283</v>
      </c>
      <c r="K140" s="241"/>
      <c r="L140" s="49">
        <v>5400000</v>
      </c>
      <c r="M140" s="49">
        <v>1350000</v>
      </c>
      <c r="N140" s="49">
        <v>1350000</v>
      </c>
      <c r="O140" s="49"/>
      <c r="P140" s="49"/>
      <c r="Q140" s="49">
        <f>SUM(N140:P140)</f>
        <v>1350000</v>
      </c>
      <c r="R140" s="72">
        <f>Q140/M140*100</f>
        <v>100</v>
      </c>
      <c r="S140" s="49">
        <f>M140-Q140</f>
        <v>0</v>
      </c>
      <c r="T140" s="49">
        <v>1350000</v>
      </c>
      <c r="U140" s="49">
        <f>T140+M140</f>
        <v>2700000</v>
      </c>
      <c r="V140" s="49">
        <f>T140+S140</f>
        <v>1350000</v>
      </c>
      <c r="W140" s="49">
        <v>1350000</v>
      </c>
      <c r="X140" s="49"/>
      <c r="Y140" s="49"/>
      <c r="Z140" s="49"/>
      <c r="AA140" s="49">
        <v>1350000</v>
      </c>
      <c r="AB140" s="49">
        <v>5400000</v>
      </c>
      <c r="AC140" s="49">
        <f t="shared" si="60"/>
        <v>0</v>
      </c>
      <c r="AD140" s="49">
        <f>AA140+T140+M140</f>
        <v>4050000</v>
      </c>
      <c r="AE140" s="49"/>
      <c r="AF140" s="49"/>
      <c r="AG140" s="49">
        <v>1350000</v>
      </c>
      <c r="AH140" s="49"/>
      <c r="AI140" s="49"/>
      <c r="AJ140" s="49"/>
      <c r="AK140" s="49">
        <f>Z140+Y140+X140+W140+N140+AG140+AJ140+AI140+AH140</f>
        <v>4050000</v>
      </c>
      <c r="AL140" s="49">
        <f>AK140/AD140*100</f>
        <v>100</v>
      </c>
      <c r="AM140" s="49"/>
      <c r="AN140" s="49"/>
      <c r="AO140" s="42">
        <v>1350000</v>
      </c>
      <c r="AP140" s="49"/>
      <c r="AQ140" s="49">
        <f>AK140+AM140+AN140+AO140+AP140</f>
        <v>5400000</v>
      </c>
      <c r="AR140" s="49">
        <f>AQ140/AB140*100</f>
        <v>100</v>
      </c>
      <c r="AS140" s="49">
        <f>AB140-AQ140</f>
        <v>0</v>
      </c>
      <c r="AT140" s="49">
        <v>3091500</v>
      </c>
      <c r="AU140" s="49">
        <f>AT140+U140</f>
        <v>5791500</v>
      </c>
      <c r="AV140" s="49">
        <f>AK140</f>
        <v>4050000</v>
      </c>
      <c r="AW140" s="72">
        <f>AV140/AU140*100</f>
        <v>69.930069930069934</v>
      </c>
      <c r="AX140" s="49">
        <f>AU140-AV140</f>
        <v>1741500</v>
      </c>
      <c r="AY140" s="49">
        <f>AS140/AB140*100</f>
        <v>0</v>
      </c>
      <c r="AZ140" s="73">
        <f t="shared" si="43"/>
        <v>4050000</v>
      </c>
    </row>
    <row r="141" spans="1:52" ht="20.100000000000001" customHeight="1">
      <c r="A141" s="68"/>
      <c r="B141" s="69"/>
      <c r="C141" s="240" t="s">
        <v>301</v>
      </c>
      <c r="D141" s="240"/>
      <c r="E141" s="241"/>
      <c r="F141" s="70"/>
      <c r="G141" s="71"/>
      <c r="H141" s="71"/>
      <c r="I141" s="240" t="s">
        <v>181</v>
      </c>
      <c r="J141" s="240"/>
      <c r="K141" s="241"/>
      <c r="L141" s="49"/>
      <c r="M141" s="49"/>
      <c r="N141" s="49"/>
      <c r="O141" s="49"/>
      <c r="P141" s="49"/>
      <c r="Q141" s="49"/>
      <c r="R141" s="72"/>
      <c r="S141" s="49"/>
      <c r="T141" s="49"/>
      <c r="U141" s="49"/>
      <c r="V141" s="49"/>
      <c r="W141" s="49"/>
      <c r="X141" s="49"/>
      <c r="Y141" s="49"/>
      <c r="Z141" s="49"/>
      <c r="AA141" s="49"/>
      <c r="AB141" s="49"/>
      <c r="AC141" s="49">
        <f t="shared" si="60"/>
        <v>0</v>
      </c>
      <c r="AD141" s="49"/>
      <c r="AE141" s="49"/>
      <c r="AF141" s="49"/>
      <c r="AG141" s="49"/>
      <c r="AH141" s="49"/>
      <c r="AI141" s="49"/>
      <c r="AJ141" s="49"/>
      <c r="AK141" s="49"/>
      <c r="AL141" s="49"/>
      <c r="AM141" s="49"/>
      <c r="AN141" s="49"/>
      <c r="AO141" s="49"/>
      <c r="AP141" s="49"/>
      <c r="AQ141" s="49"/>
      <c r="AR141" s="49"/>
      <c r="AS141" s="49"/>
      <c r="AT141" s="49"/>
      <c r="AU141" s="49"/>
      <c r="AV141" s="49"/>
      <c r="AW141" s="49"/>
      <c r="AX141" s="49"/>
      <c r="AY141" s="49"/>
      <c r="AZ141" s="73">
        <f t="shared" si="43"/>
        <v>0</v>
      </c>
    </row>
    <row r="142" spans="1:52" ht="20.100000000000001" customHeight="1">
      <c r="A142" s="68"/>
      <c r="B142" s="69"/>
      <c r="C142" s="240" t="s">
        <v>302</v>
      </c>
      <c r="D142" s="240"/>
      <c r="E142" s="241"/>
      <c r="F142" s="70"/>
      <c r="G142" s="71"/>
      <c r="H142" s="71"/>
      <c r="I142" s="71"/>
      <c r="J142" s="240" t="s">
        <v>183</v>
      </c>
      <c r="K142" s="241"/>
      <c r="L142" s="49">
        <v>2760000</v>
      </c>
      <c r="M142" s="49">
        <v>0</v>
      </c>
      <c r="N142" s="49"/>
      <c r="O142" s="49"/>
      <c r="P142" s="49"/>
      <c r="Q142" s="49">
        <f>SUM(N142:P142)</f>
        <v>0</v>
      </c>
      <c r="R142" s="72"/>
      <c r="S142" s="49">
        <f>M142-Q142</f>
        <v>0</v>
      </c>
      <c r="T142" s="49">
        <v>1380000</v>
      </c>
      <c r="U142" s="49">
        <f>T142+M142</f>
        <v>1380000</v>
      </c>
      <c r="V142" s="49">
        <f>T142+S142</f>
        <v>1380000</v>
      </c>
      <c r="W142" s="49"/>
      <c r="X142" s="49"/>
      <c r="Y142" s="49"/>
      <c r="Z142" s="49"/>
      <c r="AA142" s="49">
        <v>1380000</v>
      </c>
      <c r="AB142" s="49">
        <v>2760000</v>
      </c>
      <c r="AC142" s="49">
        <f t="shared" si="60"/>
        <v>0</v>
      </c>
      <c r="AD142" s="49">
        <f>AA142+T142+M142</f>
        <v>2760000</v>
      </c>
      <c r="AE142" s="49"/>
      <c r="AF142" s="49"/>
      <c r="AG142" s="49">
        <v>2747000</v>
      </c>
      <c r="AH142" s="49">
        <v>0</v>
      </c>
      <c r="AI142" s="49"/>
      <c r="AJ142" s="49"/>
      <c r="AK142" s="49">
        <f>Z142+Y142+X142+W142+N142+AG142+AJ142+AI142+AH142</f>
        <v>2747000</v>
      </c>
      <c r="AL142" s="49">
        <f>AK142/AD142*100</f>
        <v>99.528985507246375</v>
      </c>
      <c r="AM142" s="49"/>
      <c r="AN142" s="49"/>
      <c r="AO142" s="49"/>
      <c r="AP142" s="49"/>
      <c r="AQ142" s="49">
        <f>AK142+AM142+AN142+AO142+AP142</f>
        <v>2747000</v>
      </c>
      <c r="AR142" s="49">
        <f>AQ142/AB142*100</f>
        <v>99.528985507246375</v>
      </c>
      <c r="AS142" s="49">
        <f>AB142-AQ142</f>
        <v>13000</v>
      </c>
      <c r="AT142" s="49">
        <v>3091500</v>
      </c>
      <c r="AU142" s="49">
        <f>AT142+U142</f>
        <v>4471500</v>
      </c>
      <c r="AV142" s="49">
        <f>AK142</f>
        <v>2747000</v>
      </c>
      <c r="AW142" s="72">
        <f>AV142/AU142*100</f>
        <v>61.433523426143353</v>
      </c>
      <c r="AX142" s="49">
        <f>AU142-AV142</f>
        <v>1724500</v>
      </c>
      <c r="AY142" s="49">
        <f>AS142/AB142*100</f>
        <v>0.47101449275362323</v>
      </c>
      <c r="AZ142" s="73">
        <f t="shared" si="43"/>
        <v>2747000</v>
      </c>
    </row>
    <row r="143" spans="1:52" ht="20.100000000000001" customHeight="1">
      <c r="A143" s="68"/>
      <c r="B143" s="69"/>
      <c r="C143" s="240" t="s">
        <v>303</v>
      </c>
      <c r="D143" s="240"/>
      <c r="E143" s="241"/>
      <c r="F143" s="70"/>
      <c r="G143" s="71"/>
      <c r="H143" s="240" t="s">
        <v>143</v>
      </c>
      <c r="I143" s="240"/>
      <c r="J143" s="240"/>
      <c r="K143" s="241"/>
      <c r="L143" s="49"/>
      <c r="M143" s="49"/>
      <c r="N143" s="49"/>
      <c r="O143" s="49"/>
      <c r="P143" s="49"/>
      <c r="Q143" s="49"/>
      <c r="R143" s="72"/>
      <c r="S143" s="49"/>
      <c r="T143" s="49"/>
      <c r="U143" s="49"/>
      <c r="V143" s="49"/>
      <c r="W143" s="49"/>
      <c r="X143" s="49"/>
      <c r="Y143" s="49"/>
      <c r="Z143" s="49"/>
      <c r="AA143" s="49"/>
      <c r="AB143" s="49"/>
      <c r="AC143" s="49">
        <f t="shared" si="60"/>
        <v>0</v>
      </c>
      <c r="AD143" s="49"/>
      <c r="AE143" s="49"/>
      <c r="AF143" s="49"/>
      <c r="AG143" s="49"/>
      <c r="AH143" s="49"/>
      <c r="AI143" s="49"/>
      <c r="AJ143" s="49"/>
      <c r="AK143" s="49"/>
      <c r="AL143" s="49"/>
      <c r="AM143" s="49"/>
      <c r="AN143" s="49"/>
      <c r="AO143" s="49"/>
      <c r="AP143" s="49"/>
      <c r="AQ143" s="49"/>
      <c r="AR143" s="49"/>
      <c r="AS143" s="49"/>
      <c r="AT143" s="49"/>
      <c r="AU143" s="49"/>
      <c r="AV143" s="49"/>
      <c r="AW143" s="49"/>
      <c r="AX143" s="49"/>
      <c r="AY143" s="49"/>
      <c r="AZ143" s="73">
        <f t="shared" si="43"/>
        <v>0</v>
      </c>
    </row>
    <row r="144" spans="1:52" ht="20.100000000000001" customHeight="1">
      <c r="A144" s="68"/>
      <c r="B144" s="69"/>
      <c r="C144" s="240" t="s">
        <v>304</v>
      </c>
      <c r="D144" s="240"/>
      <c r="E144" s="241"/>
      <c r="F144" s="70"/>
      <c r="G144" s="71"/>
      <c r="H144" s="71"/>
      <c r="I144" s="240" t="s">
        <v>145</v>
      </c>
      <c r="J144" s="240"/>
      <c r="K144" s="241"/>
      <c r="L144" s="49"/>
      <c r="M144" s="49"/>
      <c r="N144" s="49"/>
      <c r="O144" s="49"/>
      <c r="P144" s="49"/>
      <c r="Q144" s="49"/>
      <c r="R144" s="72"/>
      <c r="S144" s="49"/>
      <c r="T144" s="49"/>
      <c r="U144" s="49"/>
      <c r="V144" s="49"/>
      <c r="W144" s="49"/>
      <c r="X144" s="49"/>
      <c r="Y144" s="49"/>
      <c r="Z144" s="49"/>
      <c r="AA144" s="49"/>
      <c r="AB144" s="49"/>
      <c r="AC144" s="49">
        <f t="shared" si="60"/>
        <v>0</v>
      </c>
      <c r="AD144" s="49"/>
      <c r="AE144" s="49"/>
      <c r="AF144" s="49"/>
      <c r="AG144" s="49"/>
      <c r="AH144" s="49"/>
      <c r="AI144" s="49"/>
      <c r="AJ144" s="49"/>
      <c r="AK144" s="49"/>
      <c r="AL144" s="49"/>
      <c r="AM144" s="49"/>
      <c r="AN144" s="49"/>
      <c r="AO144" s="49"/>
      <c r="AP144" s="49"/>
      <c r="AQ144" s="49"/>
      <c r="AR144" s="49"/>
      <c r="AS144" s="49"/>
      <c r="AT144" s="49"/>
      <c r="AU144" s="49"/>
      <c r="AV144" s="49"/>
      <c r="AW144" s="49"/>
      <c r="AX144" s="49"/>
      <c r="AY144" s="49"/>
      <c r="AZ144" s="73">
        <f t="shared" si="43"/>
        <v>0</v>
      </c>
    </row>
    <row r="145" spans="1:52" ht="20.100000000000001" customHeight="1">
      <c r="A145" s="68"/>
      <c r="B145" s="69"/>
      <c r="C145" s="240" t="s">
        <v>305</v>
      </c>
      <c r="D145" s="240"/>
      <c r="E145" s="241"/>
      <c r="F145" s="70"/>
      <c r="G145" s="71"/>
      <c r="H145" s="71"/>
      <c r="I145" s="71"/>
      <c r="J145" s="240" t="s">
        <v>147</v>
      </c>
      <c r="K145" s="241"/>
      <c r="L145" s="49">
        <v>1667000</v>
      </c>
      <c r="M145" s="49">
        <v>767000</v>
      </c>
      <c r="N145" s="49">
        <v>745000</v>
      </c>
      <c r="O145" s="49"/>
      <c r="P145" s="49"/>
      <c r="Q145" s="49">
        <f>SUM(N145:P145)</f>
        <v>745000</v>
      </c>
      <c r="R145" s="72">
        <f>Q145/M145*100</f>
        <v>97.131681877444592</v>
      </c>
      <c r="S145" s="49">
        <f>M145-Q145</f>
        <v>22000</v>
      </c>
      <c r="T145" s="49">
        <v>0</v>
      </c>
      <c r="U145" s="49">
        <f>T145+M145</f>
        <v>767000</v>
      </c>
      <c r="V145" s="49">
        <f>T145+S145</f>
        <v>22000</v>
      </c>
      <c r="W145" s="49"/>
      <c r="X145" s="49"/>
      <c r="Y145" s="49"/>
      <c r="Z145" s="49"/>
      <c r="AA145" s="49">
        <v>900000</v>
      </c>
      <c r="AB145" s="49">
        <v>1667000</v>
      </c>
      <c r="AC145" s="49">
        <f t="shared" si="60"/>
        <v>0</v>
      </c>
      <c r="AD145" s="49">
        <f>AA145+T145+M145</f>
        <v>1667000</v>
      </c>
      <c r="AE145" s="49"/>
      <c r="AF145" s="49"/>
      <c r="AG145" s="49">
        <v>921600</v>
      </c>
      <c r="AH145" s="49"/>
      <c r="AI145" s="49"/>
      <c r="AJ145" s="49"/>
      <c r="AK145" s="49">
        <f>Z145+Y145+X145+W145+N145+AG145+AJ145+AI145+AH145</f>
        <v>1666600</v>
      </c>
      <c r="AL145" s="49">
        <f>AK145/AD145*100</f>
        <v>99.976004799040197</v>
      </c>
      <c r="AM145" s="49"/>
      <c r="AN145" s="49"/>
      <c r="AO145" s="49"/>
      <c r="AP145" s="49"/>
      <c r="AQ145" s="49">
        <f>AK145+AM145+AN145+AO145+AP145</f>
        <v>1666600</v>
      </c>
      <c r="AR145" s="49">
        <f>AQ145/AB145*100</f>
        <v>99.976004799040197</v>
      </c>
      <c r="AS145" s="49">
        <f>AB145-AQ145</f>
        <v>400</v>
      </c>
      <c r="AT145" s="49">
        <v>3091500</v>
      </c>
      <c r="AU145" s="49">
        <f>AT145+U145</f>
        <v>3858500</v>
      </c>
      <c r="AV145" s="49">
        <f>AK145</f>
        <v>1666600</v>
      </c>
      <c r="AW145" s="72">
        <f>AV145/AU145*100</f>
        <v>43.192950628482571</v>
      </c>
      <c r="AX145" s="49">
        <f>AU145-AV145</f>
        <v>2191900</v>
      </c>
      <c r="AY145" s="49">
        <f>AS145/AB145*100</f>
        <v>2.399520095980804E-2</v>
      </c>
      <c r="AZ145" s="73">
        <f t="shared" si="43"/>
        <v>1666600</v>
      </c>
    </row>
    <row r="146" spans="1:52" ht="20.100000000000001" customHeight="1">
      <c r="A146" s="68"/>
      <c r="B146" s="69"/>
      <c r="C146" s="240" t="s">
        <v>306</v>
      </c>
      <c r="D146" s="240"/>
      <c r="E146" s="241"/>
      <c r="F146" s="70"/>
      <c r="G146" s="71"/>
      <c r="H146" s="71"/>
      <c r="I146" s="240" t="s">
        <v>151</v>
      </c>
      <c r="J146" s="240"/>
      <c r="K146" s="241"/>
      <c r="L146" s="49"/>
      <c r="M146" s="49"/>
      <c r="N146" s="49"/>
      <c r="O146" s="49"/>
      <c r="P146" s="49"/>
      <c r="Q146" s="49"/>
      <c r="R146" s="72"/>
      <c r="S146" s="49"/>
      <c r="T146" s="49"/>
      <c r="U146" s="49"/>
      <c r="V146" s="49"/>
      <c r="W146" s="49"/>
      <c r="X146" s="49"/>
      <c r="Y146" s="49"/>
      <c r="Z146" s="49"/>
      <c r="AA146" s="49"/>
      <c r="AB146" s="49"/>
      <c r="AC146" s="49">
        <f t="shared" si="60"/>
        <v>0</v>
      </c>
      <c r="AD146" s="49"/>
      <c r="AE146" s="49"/>
      <c r="AF146" s="49"/>
      <c r="AG146" s="49"/>
      <c r="AH146" s="49"/>
      <c r="AI146" s="49"/>
      <c r="AJ146" s="49"/>
      <c r="AK146" s="49"/>
      <c r="AL146" s="49"/>
      <c r="AM146" s="49"/>
      <c r="AN146" s="49"/>
      <c r="AO146" s="49"/>
      <c r="AP146" s="49"/>
      <c r="AQ146" s="49"/>
      <c r="AR146" s="49"/>
      <c r="AS146" s="49"/>
      <c r="AT146" s="49"/>
      <c r="AU146" s="49"/>
      <c r="AV146" s="49"/>
      <c r="AW146" s="49"/>
      <c r="AX146" s="49"/>
      <c r="AY146" s="49"/>
      <c r="AZ146" s="73">
        <f t="shared" si="43"/>
        <v>0</v>
      </c>
    </row>
    <row r="147" spans="1:52" ht="20.100000000000001" customHeight="1">
      <c r="A147" s="68"/>
      <c r="B147" s="69"/>
      <c r="C147" s="240" t="s">
        <v>307</v>
      </c>
      <c r="D147" s="240"/>
      <c r="E147" s="241"/>
      <c r="F147" s="70"/>
      <c r="G147" s="71"/>
      <c r="H147" s="71"/>
      <c r="I147" s="71"/>
      <c r="J147" s="240" t="s">
        <v>155</v>
      </c>
      <c r="K147" s="241"/>
      <c r="L147" s="49">
        <v>1828000</v>
      </c>
      <c r="M147" s="49">
        <v>500000</v>
      </c>
      <c r="N147" s="49">
        <v>490000</v>
      </c>
      <c r="O147" s="49"/>
      <c r="P147" s="49"/>
      <c r="Q147" s="49">
        <f>SUM(N147:P147)</f>
        <v>490000</v>
      </c>
      <c r="R147" s="72">
        <f>Q147/M147*100</f>
        <v>98</v>
      </c>
      <c r="S147" s="49">
        <f>M147-Q147</f>
        <v>10000</v>
      </c>
      <c r="T147" s="49">
        <v>500000</v>
      </c>
      <c r="U147" s="49">
        <f>T147+M147</f>
        <v>1000000</v>
      </c>
      <c r="V147" s="49">
        <f>T147+S147</f>
        <v>510000</v>
      </c>
      <c r="W147" s="49">
        <v>509950</v>
      </c>
      <c r="X147" s="49"/>
      <c r="Y147" s="49"/>
      <c r="Z147" s="49"/>
      <c r="AA147" s="49">
        <v>500000</v>
      </c>
      <c r="AB147" s="49">
        <v>1828000</v>
      </c>
      <c r="AC147" s="49">
        <f t="shared" si="60"/>
        <v>0</v>
      </c>
      <c r="AD147" s="49">
        <f>AA147+T147+M147</f>
        <v>1500000</v>
      </c>
      <c r="AE147" s="49"/>
      <c r="AF147" s="49"/>
      <c r="AG147" s="49">
        <v>499975</v>
      </c>
      <c r="AH147" s="49"/>
      <c r="AI147" s="49"/>
      <c r="AJ147" s="49"/>
      <c r="AK147" s="49">
        <f>Z147+Y147+X147+W147+N147+AG147+AJ147+AI147+AH147</f>
        <v>1499925</v>
      </c>
      <c r="AL147" s="49">
        <f>AK147/AD147*100</f>
        <v>99.995000000000005</v>
      </c>
      <c r="AM147" s="49"/>
      <c r="AN147" s="49"/>
      <c r="AO147" s="49"/>
      <c r="AP147" s="49"/>
      <c r="AQ147" s="49">
        <f>AK147+AM147+AN147+AO147+AP147</f>
        <v>1499925</v>
      </c>
      <c r="AR147" s="49">
        <f>AQ147/AB147*100</f>
        <v>82.052789934354493</v>
      </c>
      <c r="AS147" s="49">
        <f>AB147-AQ147</f>
        <v>328075</v>
      </c>
      <c r="AT147" s="49">
        <v>3091500</v>
      </c>
      <c r="AU147" s="49">
        <f>AT147+U147</f>
        <v>4091500</v>
      </c>
      <c r="AV147" s="49">
        <f>AK147</f>
        <v>1499925</v>
      </c>
      <c r="AW147" s="72">
        <f>AV147/AU147*100</f>
        <v>36.659538066723698</v>
      </c>
      <c r="AX147" s="49">
        <f>AU147-AV147</f>
        <v>2591575</v>
      </c>
      <c r="AY147" s="49">
        <f>AS147/AB147*100</f>
        <v>17.947210065645514</v>
      </c>
      <c r="AZ147" s="73">
        <f t="shared" si="43"/>
        <v>1499925</v>
      </c>
    </row>
    <row r="148" spans="1:52" ht="20.100000000000001" customHeight="1">
      <c r="A148" s="68"/>
      <c r="B148" s="69"/>
      <c r="C148" s="240" t="s">
        <v>308</v>
      </c>
      <c r="D148" s="240"/>
      <c r="E148" s="241"/>
      <c r="F148" s="70"/>
      <c r="G148" s="71"/>
      <c r="H148" s="71"/>
      <c r="I148" s="71"/>
      <c r="J148" s="240" t="s">
        <v>309</v>
      </c>
      <c r="K148" s="241"/>
      <c r="L148" s="49">
        <v>200000</v>
      </c>
      <c r="M148" s="49">
        <v>0</v>
      </c>
      <c r="N148" s="49"/>
      <c r="O148" s="49"/>
      <c r="P148" s="49"/>
      <c r="Q148" s="49">
        <f>SUM(N148:P148)</f>
        <v>0</v>
      </c>
      <c r="R148" s="72"/>
      <c r="S148" s="49">
        <f>M148-Q148</f>
        <v>0</v>
      </c>
      <c r="T148" s="49">
        <v>0</v>
      </c>
      <c r="U148" s="49">
        <f>T148+M148</f>
        <v>0</v>
      </c>
      <c r="V148" s="49">
        <f>T148+S148</f>
        <v>0</v>
      </c>
      <c r="W148" s="49"/>
      <c r="X148" s="49"/>
      <c r="Y148" s="49"/>
      <c r="Z148" s="49"/>
      <c r="AA148" s="49">
        <v>100000</v>
      </c>
      <c r="AB148" s="49">
        <v>200000</v>
      </c>
      <c r="AC148" s="49">
        <f t="shared" si="60"/>
        <v>0</v>
      </c>
      <c r="AD148" s="49">
        <f>AA148+T148+M148</f>
        <v>100000</v>
      </c>
      <c r="AE148" s="49"/>
      <c r="AF148" s="49"/>
      <c r="AG148" s="49"/>
      <c r="AH148" s="49"/>
      <c r="AI148" s="49"/>
      <c r="AJ148" s="49"/>
      <c r="AK148" s="49">
        <f>Z148+Y148+X148+W148+N148+AG148+AJ148+AI148+AH148</f>
        <v>0</v>
      </c>
      <c r="AL148" s="49">
        <f>AK148/AD148*100</f>
        <v>0</v>
      </c>
      <c r="AM148" s="49"/>
      <c r="AN148" s="49"/>
      <c r="AO148" s="49"/>
      <c r="AP148" s="49"/>
      <c r="AQ148" s="49">
        <f>AK148+AL148+AM148+AN148+AO148+AP148</f>
        <v>0</v>
      </c>
      <c r="AR148" s="49"/>
      <c r="AS148" s="49">
        <f>AB148-AQ148</f>
        <v>200000</v>
      </c>
      <c r="AT148" s="49">
        <v>3091500</v>
      </c>
      <c r="AU148" s="49">
        <f>AT148+U148</f>
        <v>3091500</v>
      </c>
      <c r="AV148" s="49">
        <f>AK148</f>
        <v>0</v>
      </c>
      <c r="AW148" s="72">
        <f>AV148/AU148*100</f>
        <v>0</v>
      </c>
      <c r="AX148" s="49">
        <f>AU148-AV148</f>
        <v>3091500</v>
      </c>
      <c r="AY148" s="49">
        <f>AS148/AB148*100</f>
        <v>100</v>
      </c>
      <c r="AZ148" s="73">
        <f t="shared" si="43"/>
        <v>0</v>
      </c>
    </row>
    <row r="149" spans="1:52" ht="20.100000000000001" customHeight="1">
      <c r="A149" s="68"/>
      <c r="B149" s="69"/>
      <c r="C149" s="240" t="s">
        <v>310</v>
      </c>
      <c r="D149" s="240"/>
      <c r="E149" s="241"/>
      <c r="F149" s="70"/>
      <c r="G149" s="71"/>
      <c r="H149" s="71"/>
      <c r="I149" s="240" t="s">
        <v>193</v>
      </c>
      <c r="J149" s="240"/>
      <c r="K149" s="241"/>
      <c r="L149" s="49"/>
      <c r="M149" s="49"/>
      <c r="N149" s="49"/>
      <c r="O149" s="49"/>
      <c r="P149" s="49"/>
      <c r="Q149" s="49"/>
      <c r="R149" s="72"/>
      <c r="S149" s="49"/>
      <c r="T149" s="49"/>
      <c r="U149" s="49"/>
      <c r="V149" s="49"/>
      <c r="W149" s="49"/>
      <c r="X149" s="49"/>
      <c r="Y149" s="49"/>
      <c r="Z149" s="49"/>
      <c r="AA149" s="49"/>
      <c r="AB149" s="49"/>
      <c r="AC149" s="49">
        <f t="shared" si="60"/>
        <v>0</v>
      </c>
      <c r="AD149" s="49"/>
      <c r="AE149" s="49"/>
      <c r="AF149" s="49"/>
      <c r="AG149" s="49"/>
      <c r="AH149" s="49"/>
      <c r="AI149" s="49"/>
      <c r="AJ149" s="49"/>
      <c r="AK149" s="49"/>
      <c r="AL149" s="49"/>
      <c r="AM149" s="49"/>
      <c r="AN149" s="49"/>
      <c r="AO149" s="49"/>
      <c r="AP149" s="49"/>
      <c r="AQ149" s="49"/>
      <c r="AR149" s="49"/>
      <c r="AS149" s="49"/>
      <c r="AT149" s="49"/>
      <c r="AU149" s="49"/>
      <c r="AV149" s="49"/>
      <c r="AW149" s="49"/>
      <c r="AX149" s="49"/>
      <c r="AY149" s="49"/>
      <c r="AZ149" s="73">
        <f t="shared" si="43"/>
        <v>0</v>
      </c>
    </row>
    <row r="150" spans="1:52" ht="20.100000000000001" customHeight="1">
      <c r="A150" s="68"/>
      <c r="B150" s="69"/>
      <c r="C150" s="240" t="s">
        <v>311</v>
      </c>
      <c r="D150" s="240"/>
      <c r="E150" s="241"/>
      <c r="F150" s="70"/>
      <c r="G150" s="71"/>
      <c r="H150" s="71"/>
      <c r="I150" s="71"/>
      <c r="J150" s="240" t="s">
        <v>312</v>
      </c>
      <c r="K150" s="241"/>
      <c r="L150" s="49">
        <v>3150000</v>
      </c>
      <c r="M150" s="49">
        <v>787500</v>
      </c>
      <c r="N150" s="49">
        <v>630000</v>
      </c>
      <c r="O150" s="49"/>
      <c r="P150" s="49"/>
      <c r="Q150" s="49">
        <f>SUM(N150:P150)</f>
        <v>630000</v>
      </c>
      <c r="R150" s="72">
        <f>Q150/M150*100</f>
        <v>80</v>
      </c>
      <c r="S150" s="49">
        <f>M150-Q150</f>
        <v>157500</v>
      </c>
      <c r="T150" s="49">
        <v>787500</v>
      </c>
      <c r="U150" s="49">
        <f>T150+M150</f>
        <v>1575000</v>
      </c>
      <c r="V150" s="49">
        <f>T150+S150</f>
        <v>945000</v>
      </c>
      <c r="W150" s="49">
        <v>700000</v>
      </c>
      <c r="X150" s="49"/>
      <c r="Y150" s="49"/>
      <c r="Z150" s="49"/>
      <c r="AA150" s="49">
        <v>787500</v>
      </c>
      <c r="AB150" s="49">
        <v>3150000</v>
      </c>
      <c r="AC150" s="49">
        <f t="shared" si="60"/>
        <v>0</v>
      </c>
      <c r="AD150" s="49">
        <f>AA150+T150+M150</f>
        <v>2362500</v>
      </c>
      <c r="AE150" s="49"/>
      <c r="AF150" s="49"/>
      <c r="AG150" s="49">
        <v>700000</v>
      </c>
      <c r="AH150" s="49"/>
      <c r="AI150" s="49"/>
      <c r="AJ150" s="49"/>
      <c r="AK150" s="49">
        <f>Z150+Y150+X150+W150+N150+AG150+AJ150+AI150+AH150</f>
        <v>2030000</v>
      </c>
      <c r="AL150" s="49">
        <f>AK150/AD150*100</f>
        <v>85.925925925925924</v>
      </c>
      <c r="AM150" s="49"/>
      <c r="AN150" s="49"/>
      <c r="AO150" s="49">
        <v>0</v>
      </c>
      <c r="AP150" s="49"/>
      <c r="AQ150" s="49">
        <f>AK150+AM150+AN150+AO150+AP150</f>
        <v>2030000</v>
      </c>
      <c r="AR150" s="49">
        <f>AQ150/AB150*100</f>
        <v>64.444444444444443</v>
      </c>
      <c r="AS150" s="49">
        <f>AB150-AQ150</f>
        <v>1120000</v>
      </c>
      <c r="AT150" s="49">
        <v>3091500</v>
      </c>
      <c r="AU150" s="49">
        <f>AT150+U150</f>
        <v>4666500</v>
      </c>
      <c r="AV150" s="49">
        <f>AK150</f>
        <v>2030000</v>
      </c>
      <c r="AW150" s="72">
        <f>AV150/AU150*100</f>
        <v>43.501553626915246</v>
      </c>
      <c r="AX150" s="49">
        <f>AU150-AV150</f>
        <v>2636500</v>
      </c>
      <c r="AY150" s="49">
        <f>AS150/AB150*100</f>
        <v>35.555555555555557</v>
      </c>
      <c r="AZ150" s="73">
        <f t="shared" si="43"/>
        <v>2030000</v>
      </c>
    </row>
    <row r="151" spans="1:52" ht="20.100000000000001" customHeight="1">
      <c r="A151" s="68"/>
      <c r="B151" s="69"/>
      <c r="C151" s="240" t="s">
        <v>313</v>
      </c>
      <c r="D151" s="240"/>
      <c r="E151" s="241"/>
      <c r="F151" s="70"/>
      <c r="G151" s="71"/>
      <c r="H151" s="71"/>
      <c r="I151" s="240" t="s">
        <v>157</v>
      </c>
      <c r="J151" s="240"/>
      <c r="K151" s="241"/>
      <c r="L151" s="49"/>
      <c r="M151" s="49"/>
      <c r="N151" s="49"/>
      <c r="O151" s="49"/>
      <c r="P151" s="49"/>
      <c r="Q151" s="49"/>
      <c r="R151" s="72"/>
      <c r="S151" s="49"/>
      <c r="T151" s="49"/>
      <c r="U151" s="49"/>
      <c r="V151" s="49"/>
      <c r="W151" s="49"/>
      <c r="X151" s="49"/>
      <c r="Y151" s="49"/>
      <c r="Z151" s="49"/>
      <c r="AA151" s="49"/>
      <c r="AB151" s="49"/>
      <c r="AC151" s="49">
        <f t="shared" si="60"/>
        <v>0</v>
      </c>
      <c r="AD151" s="49"/>
      <c r="AE151" s="49"/>
      <c r="AF151" s="49"/>
      <c r="AG151" s="49"/>
      <c r="AH151" s="49"/>
      <c r="AI151" s="49"/>
      <c r="AJ151" s="49"/>
      <c r="AK151" s="49"/>
      <c r="AL151" s="49"/>
      <c r="AM151" s="49"/>
      <c r="AN151" s="49"/>
      <c r="AO151" s="49"/>
      <c r="AP151" s="49"/>
      <c r="AQ151" s="49"/>
      <c r="AR151" s="49"/>
      <c r="AS151" s="49"/>
      <c r="AT151" s="49"/>
      <c r="AU151" s="49"/>
      <c r="AV151" s="49"/>
      <c r="AW151" s="49"/>
      <c r="AX151" s="49"/>
      <c r="AY151" s="49"/>
      <c r="AZ151" s="73">
        <f t="shared" si="43"/>
        <v>0</v>
      </c>
    </row>
    <row r="152" spans="1:52" ht="20.100000000000001" customHeight="1">
      <c r="A152" s="68"/>
      <c r="B152" s="69"/>
      <c r="C152" s="240" t="s">
        <v>314</v>
      </c>
      <c r="D152" s="240"/>
      <c r="E152" s="241"/>
      <c r="F152" s="70"/>
      <c r="G152" s="71"/>
      <c r="H152" s="71"/>
      <c r="I152" s="71"/>
      <c r="J152" s="240" t="s">
        <v>159</v>
      </c>
      <c r="K152" s="241"/>
      <c r="L152" s="49">
        <v>3840000</v>
      </c>
      <c r="M152" s="49">
        <v>600000</v>
      </c>
      <c r="N152" s="49">
        <v>0</v>
      </c>
      <c r="O152" s="49"/>
      <c r="P152" s="49"/>
      <c r="Q152" s="49">
        <f>SUM(N152:P152)</f>
        <v>0</v>
      </c>
      <c r="R152" s="72">
        <f>Q152/M152*100</f>
        <v>0</v>
      </c>
      <c r="S152" s="49">
        <f>M152-Q152</f>
        <v>600000</v>
      </c>
      <c r="T152" s="49">
        <v>1400000</v>
      </c>
      <c r="U152" s="49">
        <f>T152+M152</f>
        <v>2000000</v>
      </c>
      <c r="V152" s="49">
        <f>T152+S152</f>
        <v>2000000</v>
      </c>
      <c r="W152" s="49">
        <v>1650000</v>
      </c>
      <c r="X152" s="49"/>
      <c r="Y152" s="49"/>
      <c r="Z152" s="49"/>
      <c r="AA152" s="49">
        <v>700000</v>
      </c>
      <c r="AB152" s="49">
        <v>5340000</v>
      </c>
      <c r="AC152" s="49">
        <f t="shared" si="60"/>
        <v>1500000</v>
      </c>
      <c r="AD152" s="49">
        <f>AA152+T152+M152</f>
        <v>2700000</v>
      </c>
      <c r="AE152" s="49"/>
      <c r="AF152" s="49"/>
      <c r="AG152" s="49">
        <v>0</v>
      </c>
      <c r="AH152" s="49"/>
      <c r="AI152" s="49"/>
      <c r="AJ152" s="49">
        <v>1000000</v>
      </c>
      <c r="AK152" s="49">
        <f>Z152+Y152+X152+W152+N152+AG152+AJ152+AI152+AH152</f>
        <v>2650000</v>
      </c>
      <c r="AL152" s="49">
        <f>AK152/AD152*100</f>
        <v>98.148148148148152</v>
      </c>
      <c r="AM152" s="49"/>
      <c r="AN152" s="49"/>
      <c r="AO152" s="49">
        <v>0</v>
      </c>
      <c r="AP152" s="49"/>
      <c r="AQ152" s="49">
        <f>AK152+AM152+AN152+AO152+AP152</f>
        <v>2650000</v>
      </c>
      <c r="AR152" s="49">
        <f>AQ152/AB152*100</f>
        <v>49.625468164794007</v>
      </c>
      <c r="AS152" s="49">
        <f>AB152-AQ152</f>
        <v>2690000</v>
      </c>
      <c r="AT152" s="49">
        <v>3091500</v>
      </c>
      <c r="AU152" s="49">
        <f>AT152+U152</f>
        <v>5091500</v>
      </c>
      <c r="AV152" s="49">
        <f>AK152</f>
        <v>2650000</v>
      </c>
      <c r="AW152" s="72">
        <f>AV152/AU152*100</f>
        <v>52.0475301973878</v>
      </c>
      <c r="AX152" s="49">
        <f>AU152-AV152</f>
        <v>2441500</v>
      </c>
      <c r="AY152" s="49">
        <f>AS152/AB152*100</f>
        <v>50.374531835205993</v>
      </c>
      <c r="AZ152" s="73">
        <f t="shared" si="43"/>
        <v>2650000</v>
      </c>
    </row>
    <row r="153" spans="1:52" ht="20.100000000000001" customHeight="1">
      <c r="A153" s="68"/>
      <c r="B153" s="69"/>
      <c r="C153" s="240" t="s">
        <v>315</v>
      </c>
      <c r="D153" s="240"/>
      <c r="E153" s="241"/>
      <c r="F153" s="70"/>
      <c r="G153" s="71"/>
      <c r="H153" s="71"/>
      <c r="I153" s="71"/>
      <c r="J153" s="240" t="s">
        <v>207</v>
      </c>
      <c r="K153" s="241"/>
      <c r="L153" s="49">
        <v>5155000</v>
      </c>
      <c r="M153" s="49">
        <v>1000000</v>
      </c>
      <c r="N153" s="49"/>
      <c r="O153" s="49"/>
      <c r="P153" s="49"/>
      <c r="Q153" s="49">
        <f>SUM(N153:P153)</f>
        <v>0</v>
      </c>
      <c r="R153" s="72">
        <f>Q153/M153*100</f>
        <v>0</v>
      </c>
      <c r="S153" s="49">
        <f>M153-Q153</f>
        <v>1000000</v>
      </c>
      <c r="T153" s="49">
        <v>2155000</v>
      </c>
      <c r="U153" s="49">
        <f>T153+M153</f>
        <v>3155000</v>
      </c>
      <c r="V153" s="49">
        <f>T153+S153</f>
        <v>3155000</v>
      </c>
      <c r="W153" s="49"/>
      <c r="X153" s="49"/>
      <c r="Y153" s="49"/>
      <c r="Z153" s="49"/>
      <c r="AA153" s="49">
        <v>1000000</v>
      </c>
      <c r="AB153" s="49">
        <v>3655000</v>
      </c>
      <c r="AC153" s="49">
        <f t="shared" si="60"/>
        <v>-1500000</v>
      </c>
      <c r="AD153" s="49">
        <f>AA153+T153+M153</f>
        <v>4155000</v>
      </c>
      <c r="AE153" s="49"/>
      <c r="AF153" s="49"/>
      <c r="AG153" s="49"/>
      <c r="AH153" s="49"/>
      <c r="AI153" s="49"/>
      <c r="AJ153" s="49">
        <v>1450000</v>
      </c>
      <c r="AK153" s="49">
        <f>Z153+Y153+X153+W153+N153+AG153+AJ153+AI153+AH153</f>
        <v>1450000</v>
      </c>
      <c r="AL153" s="49">
        <f>AK153/AD153*100</f>
        <v>34.89771359807461</v>
      </c>
      <c r="AM153" s="49"/>
      <c r="AN153" s="49"/>
      <c r="AO153" s="49">
        <v>0</v>
      </c>
      <c r="AP153" s="49"/>
      <c r="AQ153" s="49">
        <f>AK153+AM153+AN153+AO153+AP153</f>
        <v>1450000</v>
      </c>
      <c r="AR153" s="49">
        <f>AQ153/AB153*100</f>
        <v>39.671682626538988</v>
      </c>
      <c r="AS153" s="49">
        <f>AB153-AQ153</f>
        <v>2205000</v>
      </c>
      <c r="AT153" s="49">
        <v>3091500</v>
      </c>
      <c r="AU153" s="49">
        <f>AT153+U153</f>
        <v>6246500</v>
      </c>
      <c r="AV153" s="49">
        <f>AK153</f>
        <v>1450000</v>
      </c>
      <c r="AW153" s="72">
        <f>AV153/AU153*100</f>
        <v>23.212999279596573</v>
      </c>
      <c r="AX153" s="49">
        <f>AU153-AV153</f>
        <v>4796500</v>
      </c>
      <c r="AY153" s="49">
        <f>AS153/AB153*100</f>
        <v>60.328317373461019</v>
      </c>
      <c r="AZ153" s="73">
        <f t="shared" si="43"/>
        <v>1450000</v>
      </c>
    </row>
    <row r="154" spans="1:52" ht="20.100000000000001" customHeight="1">
      <c r="A154" s="60" t="s">
        <v>316</v>
      </c>
      <c r="B154" s="75"/>
      <c r="C154" s="247" t="s">
        <v>317</v>
      </c>
      <c r="D154" s="247"/>
      <c r="E154" s="248"/>
      <c r="F154" s="249" t="s">
        <v>8</v>
      </c>
      <c r="G154" s="250"/>
      <c r="H154" s="250"/>
      <c r="I154" s="250"/>
      <c r="J154" s="250"/>
      <c r="K154" s="251"/>
      <c r="L154" s="48">
        <f>L155+L168</f>
        <v>194000000</v>
      </c>
      <c r="M154" s="48">
        <f>M155+M168</f>
        <v>2533500</v>
      </c>
      <c r="N154" s="48">
        <f>N155+N168</f>
        <v>2489300</v>
      </c>
      <c r="O154" s="48">
        <f>O155+O168</f>
        <v>0</v>
      </c>
      <c r="P154" s="48">
        <f>P155+P168</f>
        <v>0</v>
      </c>
      <c r="Q154" s="48">
        <f>SUM(N154:P154)</f>
        <v>2489300</v>
      </c>
      <c r="R154" s="61">
        <f>Q154/M154*100</f>
        <v>98.255377935662125</v>
      </c>
      <c r="S154" s="48">
        <f>M154-Q154</f>
        <v>44200</v>
      </c>
      <c r="T154" s="48">
        <f>T155+T168</f>
        <v>24696000</v>
      </c>
      <c r="U154" s="48">
        <f>T154+M154</f>
        <v>27229500</v>
      </c>
      <c r="V154" s="48">
        <f>T154+S154</f>
        <v>24740200</v>
      </c>
      <c r="W154" s="48">
        <f>W155+W168</f>
        <v>4675000</v>
      </c>
      <c r="X154" s="48">
        <f>X155+X168</f>
        <v>12845100</v>
      </c>
      <c r="Y154" s="48">
        <f>Y155+Y168</f>
        <v>0</v>
      </c>
      <c r="Z154" s="48"/>
      <c r="AA154" s="48">
        <f>AA155+AA168</f>
        <v>50637000</v>
      </c>
      <c r="AB154" s="48">
        <f>AB155+AB168</f>
        <v>194000000</v>
      </c>
      <c r="AC154" s="48">
        <f t="shared" si="60"/>
        <v>0</v>
      </c>
      <c r="AD154" s="48">
        <f>AA154+T154+M154</f>
        <v>77866500</v>
      </c>
      <c r="AE154" s="48">
        <f t="shared" ref="AE154:AK154" si="68">AE155+AE168</f>
        <v>0</v>
      </c>
      <c r="AF154" s="48">
        <f t="shared" si="68"/>
        <v>0</v>
      </c>
      <c r="AG154" s="48">
        <f t="shared" si="68"/>
        <v>16285000</v>
      </c>
      <c r="AH154" s="48">
        <f t="shared" si="68"/>
        <v>0</v>
      </c>
      <c r="AI154" s="48">
        <f t="shared" si="68"/>
        <v>0</v>
      </c>
      <c r="AJ154" s="48">
        <f t="shared" si="68"/>
        <v>830900</v>
      </c>
      <c r="AK154" s="48">
        <f t="shared" si="68"/>
        <v>37125300</v>
      </c>
      <c r="AL154" s="48">
        <f>AK154/AB154*100</f>
        <v>19.136752577319587</v>
      </c>
      <c r="AM154" s="48">
        <f>AM155+AM168</f>
        <v>35985400</v>
      </c>
      <c r="AN154" s="48">
        <f>AN155+AN168</f>
        <v>13109425</v>
      </c>
      <c r="AO154" s="48">
        <f>AO155+AO168</f>
        <v>0</v>
      </c>
      <c r="AP154" s="48">
        <f>AP155+AP168</f>
        <v>107739500</v>
      </c>
      <c r="AQ154" s="48">
        <f>AK154+AM154+AN154+AO154+AP154</f>
        <v>193959625</v>
      </c>
      <c r="AR154" s="48">
        <f>AQ154/AB154*100</f>
        <v>99.979188144329896</v>
      </c>
      <c r="AS154" s="48">
        <f>AB154-AQ154</f>
        <v>40375</v>
      </c>
      <c r="AT154" s="48">
        <v>120767500</v>
      </c>
      <c r="AU154" s="48">
        <f>AT154+U154</f>
        <v>147997000</v>
      </c>
      <c r="AV154" s="48">
        <f>AK154</f>
        <v>37125300</v>
      </c>
      <c r="AW154" s="61">
        <f>AV154/AU154*100</f>
        <v>25.085170645350917</v>
      </c>
      <c r="AX154" s="48">
        <f>AU154-AV154</f>
        <v>110871700</v>
      </c>
      <c r="AY154" s="48">
        <f>AS154/AB154*100</f>
        <v>2.0811855670103092E-2</v>
      </c>
      <c r="AZ154" s="73">
        <f t="shared" si="43"/>
        <v>193959625</v>
      </c>
    </row>
    <row r="155" spans="1:52" ht="20.100000000000001" customHeight="1">
      <c r="A155" s="62">
        <v>13</v>
      </c>
      <c r="B155" s="63"/>
      <c r="C155" s="242" t="s">
        <v>318</v>
      </c>
      <c r="D155" s="242"/>
      <c r="E155" s="243"/>
      <c r="F155" s="64"/>
      <c r="G155" s="252" t="s">
        <v>319</v>
      </c>
      <c r="H155" s="252"/>
      <c r="I155" s="252"/>
      <c r="J155" s="252"/>
      <c r="K155" s="253"/>
      <c r="L155" s="65">
        <f>SUM(L158:L167)</f>
        <v>100000000</v>
      </c>
      <c r="M155" s="65">
        <f>SUM(M158:M167)</f>
        <v>1069000</v>
      </c>
      <c r="N155" s="65">
        <f>SUM(N158:N167)</f>
        <v>1068800</v>
      </c>
      <c r="O155" s="65">
        <f>SUM(O158:O167)</f>
        <v>0</v>
      </c>
      <c r="P155" s="65">
        <f>SUM(P158:P167)</f>
        <v>0</v>
      </c>
      <c r="Q155" s="65">
        <f>SUM(N155:P155)</f>
        <v>1068800</v>
      </c>
      <c r="R155" s="66">
        <f>Q155/M155*100</f>
        <v>99.981290926099149</v>
      </c>
      <c r="S155" s="65">
        <f>M155-Q155</f>
        <v>200</v>
      </c>
      <c r="T155" s="65">
        <f>SUM(T158:T167)</f>
        <v>22237000</v>
      </c>
      <c r="U155" s="65">
        <f>T155+M155</f>
        <v>23306000</v>
      </c>
      <c r="V155" s="65">
        <f>T155+S155</f>
        <v>22237200</v>
      </c>
      <c r="W155" s="65">
        <f>SUM(W158:W167)</f>
        <v>3000000</v>
      </c>
      <c r="X155" s="65">
        <f>SUM(X158:X167)</f>
        <v>12845100</v>
      </c>
      <c r="Y155" s="65">
        <f>SUM(Y158:Y167)</f>
        <v>0</v>
      </c>
      <c r="Z155" s="65"/>
      <c r="AA155" s="65">
        <f>SUM(AA158:AA167)</f>
        <v>43734000</v>
      </c>
      <c r="AB155" s="65">
        <f>SUM(AB158:AB167)</f>
        <v>100000000</v>
      </c>
      <c r="AC155" s="65">
        <f t="shared" si="60"/>
        <v>0</v>
      </c>
      <c r="AD155" s="65">
        <f>AA155+T155+M155</f>
        <v>67040000</v>
      </c>
      <c r="AE155" s="65">
        <f t="shared" ref="AE155:AK155" si="69">SUM(AE158:AE167)</f>
        <v>0</v>
      </c>
      <c r="AF155" s="65">
        <f t="shared" si="69"/>
        <v>0</v>
      </c>
      <c r="AG155" s="65">
        <f t="shared" si="69"/>
        <v>12055000</v>
      </c>
      <c r="AH155" s="65">
        <f t="shared" si="69"/>
        <v>0</v>
      </c>
      <c r="AI155" s="65">
        <f t="shared" si="69"/>
        <v>0</v>
      </c>
      <c r="AJ155" s="65">
        <f t="shared" si="69"/>
        <v>830900</v>
      </c>
      <c r="AK155" s="65">
        <f t="shared" si="69"/>
        <v>29799800</v>
      </c>
      <c r="AL155" s="65">
        <f>AK155/AB155*100</f>
        <v>29.799799999999998</v>
      </c>
      <c r="AM155" s="65">
        <f>SUM(AM158:AM167)</f>
        <v>35985400</v>
      </c>
      <c r="AN155" s="65">
        <f>SUM(AN158:AN167)</f>
        <v>0</v>
      </c>
      <c r="AO155" s="65">
        <f>SUM(AO158:AO167)</f>
        <v>0</v>
      </c>
      <c r="AP155" s="42">
        <f>SUM(AP158:AP167)</f>
        <v>34214500</v>
      </c>
      <c r="AQ155" s="65">
        <f>AK155+AM155+AN155+AO155+AP155</f>
        <v>99999700</v>
      </c>
      <c r="AR155" s="65">
        <f>AQ155/AB155*100</f>
        <v>99.999700000000004</v>
      </c>
      <c r="AS155" s="65">
        <f>AB155-AQ155</f>
        <v>300</v>
      </c>
      <c r="AT155" s="65">
        <f>SUM(AT158:AT164)</f>
        <v>15457500</v>
      </c>
      <c r="AU155" s="65">
        <f>AT155+U155</f>
        <v>38763500</v>
      </c>
      <c r="AV155" s="65">
        <f>AK155</f>
        <v>29799800</v>
      </c>
      <c r="AW155" s="66">
        <f>AV155/AU155*100</f>
        <v>76.875927096366425</v>
      </c>
      <c r="AX155" s="65">
        <f>AU155-AV155</f>
        <v>8963700</v>
      </c>
      <c r="AY155" s="65">
        <f>AS155/AB155*100</f>
        <v>3.0000000000000003E-4</v>
      </c>
      <c r="AZ155" s="67">
        <f>AQ155-AO155-AM155+17241000</f>
        <v>81255300</v>
      </c>
    </row>
    <row r="156" spans="1:52" ht="20.100000000000001" customHeight="1">
      <c r="A156" s="68"/>
      <c r="B156" s="69"/>
      <c r="C156" s="240" t="s">
        <v>320</v>
      </c>
      <c r="D156" s="240"/>
      <c r="E156" s="241"/>
      <c r="F156" s="70"/>
      <c r="G156" s="71"/>
      <c r="H156" s="240" t="s">
        <v>143</v>
      </c>
      <c r="I156" s="240"/>
      <c r="J156" s="240"/>
      <c r="K156" s="241"/>
      <c r="L156" s="49"/>
      <c r="M156" s="49"/>
      <c r="N156" s="49"/>
      <c r="O156" s="49"/>
      <c r="P156" s="49"/>
      <c r="Q156" s="49"/>
      <c r="R156" s="72"/>
      <c r="S156" s="49"/>
      <c r="T156" s="49"/>
      <c r="U156" s="49"/>
      <c r="V156" s="49"/>
      <c r="W156" s="49"/>
      <c r="X156" s="49"/>
      <c r="Y156" s="49"/>
      <c r="Z156" s="49"/>
      <c r="AA156" s="49"/>
      <c r="AB156" s="49"/>
      <c r="AC156" s="49">
        <f t="shared" si="60"/>
        <v>0</v>
      </c>
      <c r="AD156" s="49"/>
      <c r="AE156" s="49"/>
      <c r="AF156" s="49"/>
      <c r="AG156" s="49"/>
      <c r="AH156" s="49"/>
      <c r="AI156" s="49"/>
      <c r="AJ156" s="49"/>
      <c r="AK156" s="49"/>
      <c r="AL156" s="49"/>
      <c r="AM156" s="49"/>
      <c r="AN156" s="49"/>
      <c r="AO156" s="49"/>
      <c r="AP156" s="42"/>
      <c r="AQ156" s="49"/>
      <c r="AR156" s="49"/>
      <c r="AS156" s="49"/>
      <c r="AT156" s="49"/>
      <c r="AU156" s="49"/>
      <c r="AV156" s="49"/>
      <c r="AW156" s="49"/>
      <c r="AX156" s="49"/>
      <c r="AY156" s="49"/>
      <c r="AZ156" s="73"/>
    </row>
    <row r="157" spans="1:52" ht="20.100000000000001" customHeight="1">
      <c r="A157" s="68"/>
      <c r="B157" s="69"/>
      <c r="C157" s="240" t="s">
        <v>321</v>
      </c>
      <c r="D157" s="240"/>
      <c r="E157" s="241"/>
      <c r="F157" s="70"/>
      <c r="G157" s="71"/>
      <c r="H157" s="71"/>
      <c r="I157" s="240" t="s">
        <v>145</v>
      </c>
      <c r="J157" s="240"/>
      <c r="K157" s="241"/>
      <c r="L157" s="49"/>
      <c r="M157" s="49" t="s">
        <v>48</v>
      </c>
      <c r="N157" s="49"/>
      <c r="O157" s="49"/>
      <c r="P157" s="49"/>
      <c r="Q157" s="49"/>
      <c r="R157" s="72"/>
      <c r="S157" s="49"/>
      <c r="T157" s="49"/>
      <c r="U157" s="49"/>
      <c r="V157" s="49"/>
      <c r="W157" s="49"/>
      <c r="X157" s="49"/>
      <c r="Y157" s="49"/>
      <c r="Z157" s="49"/>
      <c r="AA157" s="49"/>
      <c r="AB157" s="49"/>
      <c r="AC157" s="49">
        <f t="shared" si="60"/>
        <v>0</v>
      </c>
      <c r="AD157" s="49"/>
      <c r="AE157" s="49"/>
      <c r="AF157" s="49"/>
      <c r="AG157" s="49"/>
      <c r="AH157" s="49"/>
      <c r="AI157" s="49"/>
      <c r="AJ157" s="49"/>
      <c r="AK157" s="49"/>
      <c r="AL157" s="49"/>
      <c r="AM157" s="49"/>
      <c r="AN157" s="49"/>
      <c r="AO157" s="49"/>
      <c r="AP157" s="42"/>
      <c r="AQ157" s="49"/>
      <c r="AR157" s="49"/>
      <c r="AS157" s="49"/>
      <c r="AT157" s="49"/>
      <c r="AU157" s="49"/>
      <c r="AV157" s="49"/>
      <c r="AW157" s="49"/>
      <c r="AX157" s="49"/>
      <c r="AY157" s="49"/>
      <c r="AZ157" s="73">
        <f t="shared" si="43"/>
        <v>0</v>
      </c>
    </row>
    <row r="158" spans="1:52" ht="20.100000000000001" customHeight="1">
      <c r="A158" s="68"/>
      <c r="B158" s="69"/>
      <c r="C158" s="240" t="s">
        <v>322</v>
      </c>
      <c r="D158" s="240"/>
      <c r="E158" s="241"/>
      <c r="F158" s="70"/>
      <c r="G158" s="71"/>
      <c r="H158" s="71"/>
      <c r="I158" s="71"/>
      <c r="J158" s="240" t="s">
        <v>147</v>
      </c>
      <c r="K158" s="241"/>
      <c r="L158" s="49">
        <v>699000</v>
      </c>
      <c r="M158" s="49">
        <v>699000</v>
      </c>
      <c r="N158" s="49">
        <v>698800</v>
      </c>
      <c r="O158" s="49"/>
      <c r="P158" s="49"/>
      <c r="Q158" s="49">
        <f>SUM(N158:P158)</f>
        <v>698800</v>
      </c>
      <c r="R158" s="72">
        <f>Q158/M158*100</f>
        <v>99.971387696709584</v>
      </c>
      <c r="S158" s="49">
        <f>M158-Q158</f>
        <v>200</v>
      </c>
      <c r="T158" s="49">
        <v>0</v>
      </c>
      <c r="U158" s="49">
        <f>T158+M158</f>
        <v>699000</v>
      </c>
      <c r="V158" s="49">
        <f>T158+S158</f>
        <v>200</v>
      </c>
      <c r="W158" s="49"/>
      <c r="X158" s="49"/>
      <c r="Y158" s="49"/>
      <c r="Z158" s="49"/>
      <c r="AA158" s="49">
        <v>0</v>
      </c>
      <c r="AB158" s="49">
        <v>699000</v>
      </c>
      <c r="AC158" s="49">
        <f t="shared" si="60"/>
        <v>0</v>
      </c>
      <c r="AD158" s="49">
        <f>AA158+T158+M158</f>
        <v>699000</v>
      </c>
      <c r="AE158" s="49"/>
      <c r="AF158" s="49"/>
      <c r="AG158" s="49"/>
      <c r="AH158" s="49"/>
      <c r="AI158" s="49"/>
      <c r="AJ158" s="49"/>
      <c r="AK158" s="49">
        <f>Z158+Y158+X158+W158+N158+AG158+AJ158+AI158+AH158</f>
        <v>698800</v>
      </c>
      <c r="AL158" s="49">
        <f>AK158/AD158*100</f>
        <v>99.971387696709584</v>
      </c>
      <c r="AM158" s="49"/>
      <c r="AN158" s="49"/>
      <c r="AO158" s="49"/>
      <c r="AP158" s="42"/>
      <c r="AQ158" s="49">
        <f>AK158+AM158+AN158+AO158+AP158</f>
        <v>698800</v>
      </c>
      <c r="AR158" s="49">
        <f>AQ158/AB158*100</f>
        <v>99.971387696709584</v>
      </c>
      <c r="AS158" s="49">
        <f>AB158-AQ158</f>
        <v>200</v>
      </c>
      <c r="AT158" s="49">
        <v>3091500</v>
      </c>
      <c r="AU158" s="49">
        <f>AT158+U158</f>
        <v>3790500</v>
      </c>
      <c r="AV158" s="49">
        <f>AK158</f>
        <v>698800</v>
      </c>
      <c r="AW158" s="72">
        <f>AV158/AU158*100</f>
        <v>18.435562590687244</v>
      </c>
      <c r="AX158" s="49">
        <f>AU158-AV158</f>
        <v>3091700</v>
      </c>
      <c r="AY158" s="49">
        <f>AS158/AB158*100</f>
        <v>2.8612303290414882E-2</v>
      </c>
      <c r="AZ158" s="73">
        <f t="shared" si="43"/>
        <v>698800</v>
      </c>
    </row>
    <row r="159" spans="1:52" ht="20.100000000000001" customHeight="1">
      <c r="A159" s="68"/>
      <c r="B159" s="69"/>
      <c r="C159" s="240" t="s">
        <v>323</v>
      </c>
      <c r="D159" s="240"/>
      <c r="E159" s="241"/>
      <c r="F159" s="70"/>
      <c r="G159" s="71"/>
      <c r="H159" s="71"/>
      <c r="I159" s="71"/>
      <c r="J159" s="240" t="s">
        <v>149</v>
      </c>
      <c r="K159" s="241"/>
      <c r="L159" s="49">
        <v>190000</v>
      </c>
      <c r="M159" s="49">
        <v>190000</v>
      </c>
      <c r="N159" s="49">
        <v>190000</v>
      </c>
      <c r="O159" s="49"/>
      <c r="P159" s="49"/>
      <c r="Q159" s="49">
        <f>SUM(N159:P159)</f>
        <v>190000</v>
      </c>
      <c r="R159" s="72">
        <f>Q159/M159*100</f>
        <v>100</v>
      </c>
      <c r="S159" s="49">
        <f>M159-Q159</f>
        <v>0</v>
      </c>
      <c r="T159" s="49">
        <v>0</v>
      </c>
      <c r="U159" s="49">
        <f>T159+M159</f>
        <v>190000</v>
      </c>
      <c r="V159" s="49">
        <f>T159+S159</f>
        <v>0</v>
      </c>
      <c r="W159" s="49"/>
      <c r="X159" s="49"/>
      <c r="Y159" s="49"/>
      <c r="Z159" s="49"/>
      <c r="AA159" s="49">
        <v>0</v>
      </c>
      <c r="AB159" s="49">
        <v>190000</v>
      </c>
      <c r="AC159" s="49">
        <f t="shared" si="60"/>
        <v>0</v>
      </c>
      <c r="AD159" s="49">
        <f>AA159+T159+M159</f>
        <v>190000</v>
      </c>
      <c r="AE159" s="49"/>
      <c r="AF159" s="49"/>
      <c r="AG159" s="49"/>
      <c r="AH159" s="49"/>
      <c r="AI159" s="49"/>
      <c r="AJ159" s="49"/>
      <c r="AK159" s="49">
        <f>Z159+Y159+X159+W159+N159+AG159+AJ159+AI159+AH159</f>
        <v>190000</v>
      </c>
      <c r="AL159" s="49">
        <f>AK159/AD159*100</f>
        <v>100</v>
      </c>
      <c r="AM159" s="49"/>
      <c r="AN159" s="49"/>
      <c r="AO159" s="49"/>
      <c r="AP159" s="42"/>
      <c r="AQ159" s="49">
        <f>AK159+AM159+AN159+AO159+AP159</f>
        <v>190000</v>
      </c>
      <c r="AR159" s="49">
        <f>AQ159/AB159*100</f>
        <v>100</v>
      </c>
      <c r="AS159" s="49">
        <f>AB159-AQ159</f>
        <v>0</v>
      </c>
      <c r="AT159" s="49">
        <v>3091500</v>
      </c>
      <c r="AU159" s="49">
        <f>AT159+U159</f>
        <v>3281500</v>
      </c>
      <c r="AV159" s="49">
        <f>AK159</f>
        <v>190000</v>
      </c>
      <c r="AW159" s="72">
        <f>AV159/AU159*100</f>
        <v>5.7900350449489562</v>
      </c>
      <c r="AX159" s="49">
        <f>AU159-AV159</f>
        <v>3091500</v>
      </c>
      <c r="AY159" s="49">
        <f>AS159/AB159*100</f>
        <v>0</v>
      </c>
      <c r="AZ159" s="73">
        <f t="shared" si="43"/>
        <v>190000</v>
      </c>
    </row>
    <row r="160" spans="1:52" ht="20.100000000000001" customHeight="1">
      <c r="A160" s="68"/>
      <c r="B160" s="69"/>
      <c r="C160" s="240" t="s">
        <v>324</v>
      </c>
      <c r="D160" s="240"/>
      <c r="E160" s="241"/>
      <c r="F160" s="70"/>
      <c r="G160" s="71"/>
      <c r="H160" s="71"/>
      <c r="I160" s="240" t="s">
        <v>151</v>
      </c>
      <c r="J160" s="240"/>
      <c r="K160" s="241"/>
      <c r="L160" s="49"/>
      <c r="M160" s="49"/>
      <c r="N160" s="49"/>
      <c r="O160" s="49"/>
      <c r="P160" s="49"/>
      <c r="Q160" s="49"/>
      <c r="R160" s="72"/>
      <c r="S160" s="49"/>
      <c r="T160" s="49"/>
      <c r="U160" s="49"/>
      <c r="V160" s="49"/>
      <c r="W160" s="49"/>
      <c r="X160" s="49"/>
      <c r="Y160" s="49"/>
      <c r="Z160" s="49"/>
      <c r="AA160" s="49"/>
      <c r="AB160" s="49"/>
      <c r="AC160" s="49">
        <f t="shared" si="60"/>
        <v>0</v>
      </c>
      <c r="AD160" s="49"/>
      <c r="AE160" s="49"/>
      <c r="AF160" s="49"/>
      <c r="AG160" s="49"/>
      <c r="AH160" s="49"/>
      <c r="AI160" s="49"/>
      <c r="AJ160" s="49"/>
      <c r="AK160" s="49"/>
      <c r="AL160" s="49"/>
      <c r="AM160" s="49"/>
      <c r="AN160" s="49"/>
      <c r="AO160" s="49"/>
      <c r="AP160" s="42"/>
      <c r="AQ160" s="49"/>
      <c r="AR160" s="49"/>
      <c r="AS160" s="49"/>
      <c r="AT160" s="49"/>
      <c r="AU160" s="49"/>
      <c r="AV160" s="49"/>
      <c r="AW160" s="49"/>
      <c r="AX160" s="49"/>
      <c r="AY160" s="49"/>
      <c r="AZ160" s="73">
        <f t="shared" si="43"/>
        <v>0</v>
      </c>
    </row>
    <row r="161" spans="1:52" ht="20.100000000000001" customHeight="1">
      <c r="A161" s="68"/>
      <c r="B161" s="69"/>
      <c r="C161" s="240" t="s">
        <v>325</v>
      </c>
      <c r="D161" s="240"/>
      <c r="E161" s="241"/>
      <c r="F161" s="70"/>
      <c r="G161" s="71"/>
      <c r="H161" s="71"/>
      <c r="I161" s="71"/>
      <c r="J161" s="240" t="s">
        <v>155</v>
      </c>
      <c r="K161" s="241"/>
      <c r="L161" s="49">
        <v>551000</v>
      </c>
      <c r="M161" s="49">
        <v>0</v>
      </c>
      <c r="N161" s="49"/>
      <c r="O161" s="49"/>
      <c r="P161" s="49"/>
      <c r="Q161" s="49">
        <f>SUM(N161:P161)</f>
        <v>0</v>
      </c>
      <c r="R161" s="72"/>
      <c r="S161" s="49">
        <f>M161-Q161</f>
        <v>0</v>
      </c>
      <c r="T161" s="49">
        <v>0</v>
      </c>
      <c r="U161" s="49">
        <f>T161+M161</f>
        <v>0</v>
      </c>
      <c r="V161" s="49">
        <f>T161+S161</f>
        <v>0</v>
      </c>
      <c r="W161" s="49"/>
      <c r="X161" s="49"/>
      <c r="Y161" s="49"/>
      <c r="Z161" s="49"/>
      <c r="AA161" s="49">
        <v>551000</v>
      </c>
      <c r="AB161" s="49">
        <v>551000</v>
      </c>
      <c r="AC161" s="49">
        <f t="shared" si="60"/>
        <v>0</v>
      </c>
      <c r="AD161" s="49">
        <f>AA161+T161+M161</f>
        <v>551000</v>
      </c>
      <c r="AE161" s="49"/>
      <c r="AF161" s="49"/>
      <c r="AG161" s="49"/>
      <c r="AH161" s="49"/>
      <c r="AI161" s="49"/>
      <c r="AJ161" s="49">
        <v>550900</v>
      </c>
      <c r="AK161" s="49">
        <f>Z161+Y161+X161+W161+N161+AG161+AJ161+AI161+AH161</f>
        <v>550900</v>
      </c>
      <c r="AL161" s="49">
        <f>AK161/AD161*100</f>
        <v>99.981851179673313</v>
      </c>
      <c r="AM161" s="49"/>
      <c r="AN161" s="49"/>
      <c r="AO161" s="49"/>
      <c r="AP161" s="42"/>
      <c r="AQ161" s="49">
        <f>AK161+AM161+AN161+AO161+AP161</f>
        <v>550900</v>
      </c>
      <c r="AR161" s="49">
        <f>AQ161/AB161*100</f>
        <v>99.981851179673313</v>
      </c>
      <c r="AS161" s="49">
        <f>AB161-AQ161</f>
        <v>100</v>
      </c>
      <c r="AT161" s="49">
        <v>3091500</v>
      </c>
      <c r="AU161" s="49">
        <f>AT161+U161</f>
        <v>3091500</v>
      </c>
      <c r="AV161" s="49">
        <f>AK161</f>
        <v>550900</v>
      </c>
      <c r="AW161" s="72">
        <f>AV161/AU161*100</f>
        <v>17.81982856218664</v>
      </c>
      <c r="AX161" s="49">
        <f>AU161-AV161</f>
        <v>2540600</v>
      </c>
      <c r="AY161" s="49">
        <f>AS161/AB161*100</f>
        <v>1.8148820326678763E-2</v>
      </c>
      <c r="AZ161" s="73">
        <f t="shared" si="43"/>
        <v>550900</v>
      </c>
    </row>
    <row r="162" spans="1:52" ht="20.100000000000001" customHeight="1">
      <c r="A162" s="68"/>
      <c r="B162" s="69"/>
      <c r="C162" s="240" t="s">
        <v>326</v>
      </c>
      <c r="D162" s="240"/>
      <c r="E162" s="241"/>
      <c r="F162" s="70"/>
      <c r="G162" s="71"/>
      <c r="H162" s="71"/>
      <c r="I162" s="71"/>
      <c r="J162" s="240" t="s">
        <v>309</v>
      </c>
      <c r="K162" s="241"/>
      <c r="L162" s="49">
        <v>100000</v>
      </c>
      <c r="M162" s="49">
        <v>0</v>
      </c>
      <c r="N162" s="49"/>
      <c r="O162" s="49"/>
      <c r="P162" s="49"/>
      <c r="Q162" s="49">
        <f>SUM(N162:P162)</f>
        <v>0</v>
      </c>
      <c r="R162" s="72"/>
      <c r="S162" s="49">
        <f>M162-Q162</f>
        <v>0</v>
      </c>
      <c r="T162" s="49">
        <v>0</v>
      </c>
      <c r="U162" s="49">
        <f>T162+M162</f>
        <v>0</v>
      </c>
      <c r="V162" s="49">
        <f>T162+S162</f>
        <v>0</v>
      </c>
      <c r="W162" s="49"/>
      <c r="X162" s="49"/>
      <c r="Y162" s="49"/>
      <c r="Z162" s="49"/>
      <c r="AA162" s="49">
        <v>100000</v>
      </c>
      <c r="AB162" s="49">
        <v>100000</v>
      </c>
      <c r="AC162" s="49">
        <f t="shared" si="60"/>
        <v>0</v>
      </c>
      <c r="AD162" s="49">
        <f>AA162+T162+M162</f>
        <v>100000</v>
      </c>
      <c r="AE162" s="49"/>
      <c r="AF162" s="49"/>
      <c r="AG162" s="49"/>
      <c r="AH162" s="49"/>
      <c r="AI162" s="49"/>
      <c r="AJ162" s="49">
        <v>100000</v>
      </c>
      <c r="AK162" s="49">
        <f>Z162+Y162+X162+W162+N162+AG162+AJ162+AI162+AH162</f>
        <v>100000</v>
      </c>
      <c r="AL162" s="49">
        <f>AK162/AD162*100</f>
        <v>100</v>
      </c>
      <c r="AM162" s="49"/>
      <c r="AN162" s="49"/>
      <c r="AO162" s="49"/>
      <c r="AP162" s="42"/>
      <c r="AQ162" s="49">
        <f>AK162+AM162+AN162+AO162+AP162</f>
        <v>100000</v>
      </c>
      <c r="AR162" s="49">
        <f>AQ162/AB162*100</f>
        <v>100</v>
      </c>
      <c r="AS162" s="49">
        <f>AB162-AQ162</f>
        <v>0</v>
      </c>
      <c r="AT162" s="49">
        <v>3091500</v>
      </c>
      <c r="AU162" s="49">
        <f>AT162+U162</f>
        <v>3091500</v>
      </c>
      <c r="AV162" s="49">
        <f>AK162</f>
        <v>100000</v>
      </c>
      <c r="AW162" s="72">
        <f>AV162/AU162*100</f>
        <v>3.2346757237586932</v>
      </c>
      <c r="AX162" s="49">
        <f>AU162-AV162</f>
        <v>2991500</v>
      </c>
      <c r="AY162" s="49">
        <f>AS162/AB162*100</f>
        <v>0</v>
      </c>
      <c r="AZ162" s="73">
        <f t="shared" si="43"/>
        <v>100000</v>
      </c>
    </row>
    <row r="163" spans="1:52" ht="20.100000000000001" customHeight="1">
      <c r="A163" s="68"/>
      <c r="B163" s="69"/>
      <c r="C163" s="240" t="s">
        <v>327</v>
      </c>
      <c r="D163" s="240"/>
      <c r="E163" s="241"/>
      <c r="F163" s="70"/>
      <c r="G163" s="71"/>
      <c r="H163" s="71"/>
      <c r="I163" s="240" t="s">
        <v>328</v>
      </c>
      <c r="J163" s="240"/>
      <c r="K163" s="241"/>
      <c r="L163" s="49"/>
      <c r="M163" s="49"/>
      <c r="N163" s="49"/>
      <c r="O163" s="49"/>
      <c r="P163" s="49"/>
      <c r="Q163" s="49"/>
      <c r="R163" s="72"/>
      <c r="S163" s="49"/>
      <c r="T163" s="49"/>
      <c r="U163" s="49"/>
      <c r="V163" s="49"/>
      <c r="W163" s="49"/>
      <c r="X163" s="49"/>
      <c r="Y163" s="49"/>
      <c r="Z163" s="49"/>
      <c r="AA163" s="49"/>
      <c r="AB163" s="49"/>
      <c r="AC163" s="49">
        <f t="shared" si="60"/>
        <v>0</v>
      </c>
      <c r="AD163" s="49"/>
      <c r="AE163" s="49"/>
      <c r="AF163" s="49"/>
      <c r="AG163" s="49"/>
      <c r="AH163" s="49"/>
      <c r="AI163" s="49"/>
      <c r="AJ163" s="49"/>
      <c r="AK163" s="49"/>
      <c r="AL163" s="49"/>
      <c r="AM163" s="49"/>
      <c r="AN163" s="49"/>
      <c r="AO163" s="49"/>
      <c r="AP163" s="42"/>
      <c r="AQ163" s="49"/>
      <c r="AR163" s="49"/>
      <c r="AS163" s="49"/>
      <c r="AT163" s="49"/>
      <c r="AU163" s="49"/>
      <c r="AV163" s="49"/>
      <c r="AW163" s="49"/>
      <c r="AX163" s="49"/>
      <c r="AY163" s="49"/>
      <c r="AZ163" s="73">
        <f t="shared" si="43"/>
        <v>0</v>
      </c>
    </row>
    <row r="164" spans="1:52" ht="20.100000000000001" customHeight="1">
      <c r="A164" s="68"/>
      <c r="B164" s="69"/>
      <c r="C164" s="240" t="s">
        <v>329</v>
      </c>
      <c r="D164" s="240"/>
      <c r="E164" s="241"/>
      <c r="F164" s="70"/>
      <c r="G164" s="71"/>
      <c r="H164" s="71"/>
      <c r="I164" s="71"/>
      <c r="J164" s="240" t="s">
        <v>330</v>
      </c>
      <c r="K164" s="241"/>
      <c r="L164" s="49">
        <v>12000000</v>
      </c>
      <c r="M164" s="49">
        <v>0</v>
      </c>
      <c r="N164" s="49"/>
      <c r="O164" s="49"/>
      <c r="P164" s="49"/>
      <c r="Q164" s="49">
        <f>SUM(N164:P164)</f>
        <v>0</v>
      </c>
      <c r="R164" s="72"/>
      <c r="S164" s="49">
        <f>M164-Q164</f>
        <v>0</v>
      </c>
      <c r="T164" s="49">
        <v>3000000</v>
      </c>
      <c r="U164" s="49">
        <f>T164+M164</f>
        <v>3000000</v>
      </c>
      <c r="V164" s="49">
        <f>T164+S164</f>
        <v>3000000</v>
      </c>
      <c r="W164" s="49">
        <v>3000000</v>
      </c>
      <c r="X164" s="49"/>
      <c r="Y164" s="49"/>
      <c r="Z164" s="49"/>
      <c r="AA164" s="49">
        <v>6000000</v>
      </c>
      <c r="AB164" s="49">
        <v>12000000</v>
      </c>
      <c r="AC164" s="49">
        <f t="shared" si="60"/>
        <v>0</v>
      </c>
      <c r="AD164" s="49">
        <f>AA164+T164+M164</f>
        <v>9000000</v>
      </c>
      <c r="AE164" s="49"/>
      <c r="AF164" s="49"/>
      <c r="AG164" s="49">
        <v>2000000</v>
      </c>
      <c r="AH164" s="49"/>
      <c r="AI164" s="49"/>
      <c r="AJ164" s="49"/>
      <c r="AK164" s="49">
        <f>Z164+Y164+X164+W164+N164+AG164+AJ164+AI164+AH164</f>
        <v>5000000</v>
      </c>
      <c r="AL164" s="49">
        <f>AK164/AD164*100</f>
        <v>55.555555555555557</v>
      </c>
      <c r="AM164" s="49"/>
      <c r="AN164" s="49"/>
      <c r="AO164" s="49">
        <v>0</v>
      </c>
      <c r="AP164" s="42">
        <v>7000000</v>
      </c>
      <c r="AQ164" s="49">
        <f>AK164+AM164+AN164+AO164+AP164</f>
        <v>12000000</v>
      </c>
      <c r="AR164" s="49">
        <f>AQ164/AB164*100</f>
        <v>100</v>
      </c>
      <c r="AS164" s="49">
        <f>AB164-AQ164</f>
        <v>0</v>
      </c>
      <c r="AT164" s="49">
        <v>3091500</v>
      </c>
      <c r="AU164" s="49">
        <f>AT164+U164</f>
        <v>6091500</v>
      </c>
      <c r="AV164" s="49">
        <f>AK164</f>
        <v>5000000</v>
      </c>
      <c r="AW164" s="72">
        <f>AV164/AU164*100</f>
        <v>82.081589099564965</v>
      </c>
      <c r="AX164" s="49">
        <f>AU164-AV164</f>
        <v>1091500</v>
      </c>
      <c r="AY164" s="49">
        <f>AS164/AB164*100</f>
        <v>0</v>
      </c>
      <c r="AZ164" s="73">
        <f t="shared" ref="AZ164:AZ227" si="70">AQ164-AO164</f>
        <v>12000000</v>
      </c>
    </row>
    <row r="165" spans="1:52" ht="20.100000000000001" customHeight="1">
      <c r="A165" s="68"/>
      <c r="B165" s="69"/>
      <c r="C165" s="240" t="s">
        <v>331</v>
      </c>
      <c r="D165" s="240"/>
      <c r="E165" s="241"/>
      <c r="F165" s="70"/>
      <c r="G165" s="71"/>
      <c r="H165" s="71"/>
      <c r="I165" s="240" t="s">
        <v>157</v>
      </c>
      <c r="J165" s="240"/>
      <c r="K165" s="241"/>
      <c r="L165" s="49"/>
      <c r="M165" s="49"/>
      <c r="N165" s="49"/>
      <c r="O165" s="49"/>
      <c r="P165" s="49"/>
      <c r="Q165" s="49"/>
      <c r="R165" s="72"/>
      <c r="S165" s="49"/>
      <c r="T165" s="49"/>
      <c r="U165" s="49"/>
      <c r="V165" s="49"/>
      <c r="W165" s="49"/>
      <c r="X165" s="49"/>
      <c r="Y165" s="49"/>
      <c r="Z165" s="49"/>
      <c r="AA165" s="49"/>
      <c r="AB165" s="49"/>
      <c r="AC165" s="49">
        <f t="shared" si="60"/>
        <v>0</v>
      </c>
      <c r="AD165" s="49"/>
      <c r="AE165" s="49"/>
      <c r="AF165" s="49"/>
      <c r="AG165" s="49"/>
      <c r="AH165" s="49"/>
      <c r="AI165" s="49"/>
      <c r="AJ165" s="49"/>
      <c r="AK165" s="49"/>
      <c r="AL165" s="49"/>
      <c r="AM165" s="49"/>
      <c r="AN165" s="49"/>
      <c r="AO165" s="49"/>
      <c r="AP165" s="42"/>
      <c r="AQ165" s="49"/>
      <c r="AR165" s="49"/>
      <c r="AS165" s="49"/>
      <c r="AT165" s="49"/>
      <c r="AU165" s="49"/>
      <c r="AV165" s="49"/>
      <c r="AW165" s="49"/>
      <c r="AX165" s="49"/>
      <c r="AY165" s="49"/>
      <c r="AZ165" s="73">
        <f t="shared" si="70"/>
        <v>0</v>
      </c>
    </row>
    <row r="166" spans="1:52" ht="20.100000000000001" customHeight="1">
      <c r="A166" s="68"/>
      <c r="B166" s="69"/>
      <c r="C166" s="240" t="s">
        <v>332</v>
      </c>
      <c r="D166" s="240"/>
      <c r="E166" s="241"/>
      <c r="F166" s="70"/>
      <c r="G166" s="71"/>
      <c r="H166" s="71"/>
      <c r="I166" s="71"/>
      <c r="J166" s="240" t="s">
        <v>159</v>
      </c>
      <c r="K166" s="241"/>
      <c r="L166" s="49">
        <v>900000</v>
      </c>
      <c r="M166" s="49">
        <v>180000</v>
      </c>
      <c r="N166" s="49">
        <v>180000</v>
      </c>
      <c r="O166" s="49"/>
      <c r="P166" s="49"/>
      <c r="Q166" s="49">
        <f>SUM(N166:P166)</f>
        <v>180000</v>
      </c>
      <c r="R166" s="72">
        <f>Q166/M166*100</f>
        <v>100</v>
      </c>
      <c r="S166" s="49">
        <f>M166-Q166</f>
        <v>0</v>
      </c>
      <c r="T166" s="49">
        <v>180000</v>
      </c>
      <c r="U166" s="49">
        <f>T166+M166</f>
        <v>360000</v>
      </c>
      <c r="V166" s="49">
        <f>T166+S166</f>
        <v>180000</v>
      </c>
      <c r="W166" s="49"/>
      <c r="X166" s="49"/>
      <c r="Y166" s="49"/>
      <c r="Z166" s="49"/>
      <c r="AA166" s="49">
        <v>360000</v>
      </c>
      <c r="AB166" s="49">
        <v>900000</v>
      </c>
      <c r="AC166" s="49">
        <f t="shared" si="60"/>
        <v>0</v>
      </c>
      <c r="AD166" s="49">
        <f>AA166+T166+M166</f>
        <v>720000</v>
      </c>
      <c r="AE166" s="49"/>
      <c r="AF166" s="49"/>
      <c r="AG166" s="49">
        <f>180000+180000</f>
        <v>360000</v>
      </c>
      <c r="AH166" s="49"/>
      <c r="AI166" s="49"/>
      <c r="AJ166" s="49">
        <v>180000</v>
      </c>
      <c r="AK166" s="49">
        <f>Z166+Y166+X166+W166+N166+AG166+AJ166+AI166+AH166</f>
        <v>720000</v>
      </c>
      <c r="AL166" s="49">
        <f>AK166/AD166*100</f>
        <v>100</v>
      </c>
      <c r="AM166" s="48"/>
      <c r="AN166" s="49"/>
      <c r="AO166" s="49"/>
      <c r="AP166" s="42">
        <v>180000</v>
      </c>
      <c r="AQ166" s="49">
        <f>AK166+AM166+AN166+AO166+AP166</f>
        <v>900000</v>
      </c>
      <c r="AR166" s="49">
        <f>AQ166/AB166*100</f>
        <v>100</v>
      </c>
      <c r="AS166" s="49">
        <f>AB166-AQ166</f>
        <v>0</v>
      </c>
      <c r="AT166" s="49">
        <v>3091500</v>
      </c>
      <c r="AU166" s="49">
        <f>AT166+U166</f>
        <v>3451500</v>
      </c>
      <c r="AV166" s="49">
        <f>AK166</f>
        <v>720000</v>
      </c>
      <c r="AW166" s="72">
        <f>AV166/AU166*100</f>
        <v>20.860495436766623</v>
      </c>
      <c r="AX166" s="49">
        <f>AU166-AV166</f>
        <v>2731500</v>
      </c>
      <c r="AY166" s="49">
        <f>AS166/AB166*100</f>
        <v>0</v>
      </c>
      <c r="AZ166" s="73">
        <f t="shared" si="70"/>
        <v>900000</v>
      </c>
    </row>
    <row r="167" spans="1:52" ht="20.100000000000001" customHeight="1">
      <c r="A167" s="68"/>
      <c r="B167" s="69"/>
      <c r="C167" s="240" t="s">
        <v>333</v>
      </c>
      <c r="D167" s="240"/>
      <c r="E167" s="241"/>
      <c r="F167" s="70"/>
      <c r="G167" s="71"/>
      <c r="H167" s="71"/>
      <c r="I167" s="71"/>
      <c r="J167" s="240" t="s">
        <v>207</v>
      </c>
      <c r="K167" s="241"/>
      <c r="L167" s="49">
        <v>85560000</v>
      </c>
      <c r="M167" s="49">
        <v>0</v>
      </c>
      <c r="N167" s="49"/>
      <c r="O167" s="49"/>
      <c r="P167" s="49"/>
      <c r="Q167" s="49">
        <f>SUM(N167:P167)</f>
        <v>0</v>
      </c>
      <c r="R167" s="72"/>
      <c r="S167" s="49">
        <f>M167-Q167</f>
        <v>0</v>
      </c>
      <c r="T167" s="49">
        <v>19057000</v>
      </c>
      <c r="U167" s="49">
        <f>T167+M167</f>
        <v>19057000</v>
      </c>
      <c r="V167" s="49">
        <f>T167+S167</f>
        <v>19057000</v>
      </c>
      <c r="W167" s="49"/>
      <c r="X167" s="49">
        <v>12845100</v>
      </c>
      <c r="Y167" s="49"/>
      <c r="Z167" s="49"/>
      <c r="AA167" s="49">
        <v>36723000</v>
      </c>
      <c r="AB167" s="49">
        <v>85560000</v>
      </c>
      <c r="AC167" s="49">
        <f t="shared" si="60"/>
        <v>0</v>
      </c>
      <c r="AD167" s="49">
        <f>AA167+T167+M167</f>
        <v>55780000</v>
      </c>
      <c r="AE167" s="49">
        <v>0</v>
      </c>
      <c r="AF167" s="49">
        <v>0</v>
      </c>
      <c r="AG167" s="49">
        <v>9695000</v>
      </c>
      <c r="AH167" s="49"/>
      <c r="AI167" s="49"/>
      <c r="AJ167" s="49"/>
      <c r="AK167" s="49">
        <f>Z167+Y167+X167+W167+N167+AG167+AJ167+AI167+AH167</f>
        <v>22540100</v>
      </c>
      <c r="AL167" s="49">
        <f>AK167/AD167*100</f>
        <v>40.408927931158125</v>
      </c>
      <c r="AM167" s="48">
        <f>17241200+18744200</f>
        <v>35985400</v>
      </c>
      <c r="AN167" s="49"/>
      <c r="AO167" s="49"/>
      <c r="AP167" s="42">
        <v>27034500</v>
      </c>
      <c r="AQ167" s="49">
        <f>AK167+AM167+AN167+AO167+AP167</f>
        <v>85560000</v>
      </c>
      <c r="AR167" s="49">
        <f>AQ167/AB167*100</f>
        <v>100</v>
      </c>
      <c r="AS167" s="49">
        <f>AB167-AQ167</f>
        <v>0</v>
      </c>
      <c r="AT167" s="49">
        <v>3091500</v>
      </c>
      <c r="AU167" s="49">
        <f>AT167+U167</f>
        <v>22148500</v>
      </c>
      <c r="AV167" s="49">
        <f>AK167</f>
        <v>22540100</v>
      </c>
      <c r="AW167" s="72">
        <f>AV167/AU167*100</f>
        <v>101.76806555748696</v>
      </c>
      <c r="AX167" s="49">
        <f>AU167-AV167</f>
        <v>-391600</v>
      </c>
      <c r="AY167" s="49">
        <f>AS167/AB167*100</f>
        <v>0</v>
      </c>
      <c r="AZ167" s="73">
        <f t="shared" si="70"/>
        <v>85560000</v>
      </c>
    </row>
    <row r="168" spans="1:52" ht="20.100000000000001" customHeight="1">
      <c r="A168" s="62">
        <v>14</v>
      </c>
      <c r="B168" s="63"/>
      <c r="C168" s="242" t="s">
        <v>334</v>
      </c>
      <c r="D168" s="242"/>
      <c r="E168" s="243"/>
      <c r="F168" s="64"/>
      <c r="G168" s="244" t="s">
        <v>335</v>
      </c>
      <c r="H168" s="244"/>
      <c r="I168" s="244"/>
      <c r="J168" s="244"/>
      <c r="K168" s="245"/>
      <c r="L168" s="65">
        <f>SUM(L171:L191)</f>
        <v>94000000</v>
      </c>
      <c r="M168" s="65">
        <f>SUM(M171:M191)</f>
        <v>1464500</v>
      </c>
      <c r="N168" s="65">
        <f>SUM(N171:N191)</f>
        <v>1420500</v>
      </c>
      <c r="O168" s="65">
        <f>SUM(O171:O191)</f>
        <v>0</v>
      </c>
      <c r="P168" s="65">
        <f>SUM(P171:P191)</f>
        <v>0</v>
      </c>
      <c r="Q168" s="65">
        <f>SUM(N168:P168)</f>
        <v>1420500</v>
      </c>
      <c r="R168" s="66">
        <f>Q168/M168*100</f>
        <v>96.995561625128033</v>
      </c>
      <c r="S168" s="65">
        <f>M168-Q168</f>
        <v>44000</v>
      </c>
      <c r="T168" s="65">
        <f>SUM(T171:T191)</f>
        <v>2459000</v>
      </c>
      <c r="U168" s="65">
        <f>T168+M168</f>
        <v>3923500</v>
      </c>
      <c r="V168" s="65">
        <f>T168+S168</f>
        <v>2503000</v>
      </c>
      <c r="W168" s="65">
        <f>SUM(W171:W191)</f>
        <v>1675000</v>
      </c>
      <c r="X168" s="65">
        <f>SUM(X171:X191)</f>
        <v>0</v>
      </c>
      <c r="Y168" s="65">
        <f>SUM(Y171:Y191)</f>
        <v>0</v>
      </c>
      <c r="Z168" s="65"/>
      <c r="AA168" s="65">
        <f>SUM(AA171:AA191)</f>
        <v>6903000</v>
      </c>
      <c r="AB168" s="65">
        <f>SUM(AB171:AB191)</f>
        <v>94000000</v>
      </c>
      <c r="AC168" s="65">
        <f t="shared" si="60"/>
        <v>0</v>
      </c>
      <c r="AD168" s="65">
        <f>AA168+T168+M168</f>
        <v>10826500</v>
      </c>
      <c r="AE168" s="65">
        <f t="shared" ref="AE168:AK168" si="71">SUM(AE171:AE191)</f>
        <v>0</v>
      </c>
      <c r="AF168" s="65">
        <f t="shared" si="71"/>
        <v>0</v>
      </c>
      <c r="AG168" s="65">
        <f t="shared" si="71"/>
        <v>4230000</v>
      </c>
      <c r="AH168" s="65">
        <f t="shared" si="71"/>
        <v>0</v>
      </c>
      <c r="AI168" s="65">
        <f t="shared" si="71"/>
        <v>0</v>
      </c>
      <c r="AJ168" s="65"/>
      <c r="AK168" s="65">
        <f t="shared" si="71"/>
        <v>7325500</v>
      </c>
      <c r="AL168" s="65">
        <f>AK168/AB168*100</f>
        <v>7.7930851063829785</v>
      </c>
      <c r="AM168" s="65">
        <f>SUM(AM171:AM191)</f>
        <v>0</v>
      </c>
      <c r="AN168" s="65">
        <f>SUM(AN171:AN191)</f>
        <v>13109425</v>
      </c>
      <c r="AO168" s="65">
        <f>SUM(AO171:AO191)</f>
        <v>0</v>
      </c>
      <c r="AP168" s="42">
        <f>SUM(AP171:AP191)</f>
        <v>73525000</v>
      </c>
      <c r="AQ168" s="65">
        <f>AK168+AM168+AN168+AO168+AP168</f>
        <v>93959925</v>
      </c>
      <c r="AR168" s="65">
        <f>AQ168/AB168*100</f>
        <v>99.957367021276596</v>
      </c>
      <c r="AS168" s="65">
        <f>AB168-AQ168</f>
        <v>40075</v>
      </c>
      <c r="AT168" s="65">
        <f>SUM(AT171:AT177)</f>
        <v>12366000</v>
      </c>
      <c r="AU168" s="65">
        <f>AT168+U168</f>
        <v>16289500</v>
      </c>
      <c r="AV168" s="65">
        <f>AK168</f>
        <v>7325500</v>
      </c>
      <c r="AW168" s="66">
        <f>AV168/AU168*100</f>
        <v>44.970686638632245</v>
      </c>
      <c r="AX168" s="65">
        <f>AU168-AV168</f>
        <v>8964000</v>
      </c>
      <c r="AY168" s="65">
        <f>AS168/AB168*100</f>
        <v>4.2632978723404255E-2</v>
      </c>
      <c r="AZ168" s="67">
        <f>AQ168-AN168</f>
        <v>80850500</v>
      </c>
    </row>
    <row r="169" spans="1:52" ht="20.100000000000001" customHeight="1">
      <c r="A169" s="68"/>
      <c r="B169" s="69"/>
      <c r="C169" s="240" t="s">
        <v>336</v>
      </c>
      <c r="D169" s="240"/>
      <c r="E169" s="241"/>
      <c r="F169" s="70"/>
      <c r="G169" s="71"/>
      <c r="H169" s="240" t="s">
        <v>10</v>
      </c>
      <c r="I169" s="240"/>
      <c r="J169" s="240"/>
      <c r="K169" s="241"/>
      <c r="L169" s="49"/>
      <c r="M169" s="49"/>
      <c r="N169" s="49"/>
      <c r="O169" s="49"/>
      <c r="P169" s="49"/>
      <c r="Q169" s="49"/>
      <c r="R169" s="72"/>
      <c r="S169" s="49"/>
      <c r="T169" s="49"/>
      <c r="U169" s="49"/>
      <c r="V169" s="49"/>
      <c r="W169" s="49"/>
      <c r="X169" s="49"/>
      <c r="Y169" s="49"/>
      <c r="Z169" s="49"/>
      <c r="AA169" s="49"/>
      <c r="AB169" s="49"/>
      <c r="AC169" s="49">
        <f t="shared" si="60"/>
        <v>0</v>
      </c>
      <c r="AD169" s="49"/>
      <c r="AE169" s="49"/>
      <c r="AF169" s="49"/>
      <c r="AG169" s="49"/>
      <c r="AH169" s="49"/>
      <c r="AI169" s="49"/>
      <c r="AJ169" s="72" t="s">
        <v>337</v>
      </c>
      <c r="AK169" s="49"/>
      <c r="AL169" s="49"/>
      <c r="AM169" s="49">
        <v>83462725</v>
      </c>
      <c r="AN169" s="49"/>
      <c r="AO169" s="49"/>
      <c r="AP169" s="42"/>
      <c r="AQ169" s="49"/>
      <c r="AR169" s="49"/>
      <c r="AS169" s="49"/>
      <c r="AT169" s="49"/>
      <c r="AU169" s="49"/>
      <c r="AV169" s="49"/>
      <c r="AW169" s="49"/>
      <c r="AX169" s="49"/>
      <c r="AY169" s="49"/>
      <c r="AZ169" s="73">
        <f t="shared" si="70"/>
        <v>0</v>
      </c>
    </row>
    <row r="170" spans="1:52" ht="20.100000000000001" customHeight="1">
      <c r="A170" s="68"/>
      <c r="B170" s="69"/>
      <c r="C170" s="240" t="s">
        <v>338</v>
      </c>
      <c r="D170" s="240"/>
      <c r="E170" s="241"/>
      <c r="F170" s="70"/>
      <c r="G170" s="71"/>
      <c r="H170" s="71"/>
      <c r="I170" s="240" t="s">
        <v>177</v>
      </c>
      <c r="J170" s="240"/>
      <c r="K170" s="241"/>
      <c r="L170" s="49"/>
      <c r="M170" s="49"/>
      <c r="N170" s="49"/>
      <c r="O170" s="49"/>
      <c r="P170" s="49"/>
      <c r="Q170" s="49"/>
      <c r="R170" s="72"/>
      <c r="S170" s="49"/>
      <c r="T170" s="49"/>
      <c r="U170" s="49"/>
      <c r="V170" s="49"/>
      <c r="W170" s="49"/>
      <c r="X170" s="49"/>
      <c r="Y170" s="49"/>
      <c r="Z170" s="49"/>
      <c r="AA170" s="49"/>
      <c r="AB170" s="49"/>
      <c r="AC170" s="49">
        <f t="shared" si="60"/>
        <v>0</v>
      </c>
      <c r="AD170" s="49"/>
      <c r="AE170" s="49"/>
      <c r="AF170" s="49"/>
      <c r="AG170" s="49"/>
      <c r="AH170" s="49"/>
      <c r="AI170" s="49"/>
      <c r="AJ170" s="49"/>
      <c r="AK170" s="49"/>
      <c r="AL170" s="49"/>
      <c r="AM170" s="49">
        <f>AM169-AN168</f>
        <v>70353300</v>
      </c>
      <c r="AN170" s="49"/>
      <c r="AO170" s="49"/>
      <c r="AP170" s="42"/>
      <c r="AQ170" s="49"/>
      <c r="AR170" s="49"/>
      <c r="AS170" s="49"/>
      <c r="AT170" s="49"/>
      <c r="AU170" s="49"/>
      <c r="AV170" s="49"/>
      <c r="AW170" s="49"/>
      <c r="AX170" s="49"/>
      <c r="AY170" s="49"/>
      <c r="AZ170" s="73">
        <f t="shared" si="70"/>
        <v>0</v>
      </c>
    </row>
    <row r="171" spans="1:52" ht="20.100000000000001" customHeight="1">
      <c r="A171" s="68"/>
      <c r="B171" s="69"/>
      <c r="C171" s="240" t="s">
        <v>339</v>
      </c>
      <c r="D171" s="240"/>
      <c r="E171" s="241"/>
      <c r="F171" s="70"/>
      <c r="G171" s="71"/>
      <c r="H171" s="71"/>
      <c r="I171" s="71"/>
      <c r="J171" s="240" t="s">
        <v>283</v>
      </c>
      <c r="K171" s="241"/>
      <c r="L171" s="49">
        <v>8497500</v>
      </c>
      <c r="M171" s="49">
        <v>0</v>
      </c>
      <c r="N171" s="49"/>
      <c r="O171" s="49"/>
      <c r="P171" s="49"/>
      <c r="Q171" s="49">
        <f>SUM(N171:P171)</f>
        <v>0</v>
      </c>
      <c r="R171" s="72"/>
      <c r="S171" s="49">
        <f>M171-Q171</f>
        <v>0</v>
      </c>
      <c r="T171" s="49">
        <v>0</v>
      </c>
      <c r="U171" s="49">
        <f>T171+M171</f>
        <v>0</v>
      </c>
      <c r="V171" s="49">
        <f>T171+S171</f>
        <v>0</v>
      </c>
      <c r="W171" s="49"/>
      <c r="X171" s="49"/>
      <c r="Y171" s="49"/>
      <c r="Z171" s="49"/>
      <c r="AA171" s="49">
        <v>0</v>
      </c>
      <c r="AB171" s="49">
        <v>8497500</v>
      </c>
      <c r="AC171" s="49">
        <f t="shared" si="60"/>
        <v>0</v>
      </c>
      <c r="AD171" s="49">
        <f>AA171+T171+M171</f>
        <v>0</v>
      </c>
      <c r="AE171" s="49"/>
      <c r="AF171" s="49"/>
      <c r="AG171" s="49"/>
      <c r="AH171" s="49"/>
      <c r="AI171" s="49"/>
      <c r="AJ171" s="49"/>
      <c r="AK171" s="49">
        <f>Z171+Y171+X171+W171+N171+AG171+AJ171+AI171+AH171</f>
        <v>0</v>
      </c>
      <c r="AL171" s="49">
        <f>AK171/AB171*100</f>
        <v>0</v>
      </c>
      <c r="AM171" s="49"/>
      <c r="AN171" s="49">
        <v>5650000</v>
      </c>
      <c r="AO171" s="49"/>
      <c r="AP171" s="42">
        <v>2847500</v>
      </c>
      <c r="AQ171" s="49">
        <f>AK171+AM171+AN171+AO171+AP171</f>
        <v>8497500</v>
      </c>
      <c r="AR171" s="49">
        <f>AQ171/AB171*100</f>
        <v>100</v>
      </c>
      <c r="AS171" s="49">
        <f>AB171-AQ171</f>
        <v>0</v>
      </c>
      <c r="AT171" s="49">
        <v>3091500</v>
      </c>
      <c r="AU171" s="49">
        <f>AT171+U171</f>
        <v>3091500</v>
      </c>
      <c r="AV171" s="49">
        <f>AK171</f>
        <v>0</v>
      </c>
      <c r="AW171" s="72">
        <f>AV171/AU171*100</f>
        <v>0</v>
      </c>
      <c r="AX171" s="49">
        <f>AU171-AV171</f>
        <v>3091500</v>
      </c>
      <c r="AY171" s="49">
        <f>AS171/AB171*100</f>
        <v>0</v>
      </c>
      <c r="AZ171" s="73">
        <f t="shared" si="70"/>
        <v>8497500</v>
      </c>
    </row>
    <row r="172" spans="1:52" ht="20.100000000000001" customHeight="1">
      <c r="A172" s="68"/>
      <c r="B172" s="69"/>
      <c r="C172" s="240" t="s">
        <v>340</v>
      </c>
      <c r="D172" s="240"/>
      <c r="E172" s="241"/>
      <c r="F172" s="70"/>
      <c r="G172" s="71"/>
      <c r="H172" s="71"/>
      <c r="I172" s="240" t="s">
        <v>341</v>
      </c>
      <c r="J172" s="240"/>
      <c r="K172" s="241"/>
      <c r="L172" s="49"/>
      <c r="M172" s="49"/>
      <c r="N172" s="49"/>
      <c r="O172" s="49"/>
      <c r="P172" s="49"/>
      <c r="Q172" s="49"/>
      <c r="R172" s="72"/>
      <c r="S172" s="49"/>
      <c r="T172" s="49"/>
      <c r="U172" s="49"/>
      <c r="V172" s="49"/>
      <c r="W172" s="49"/>
      <c r="X172" s="49"/>
      <c r="Y172" s="49"/>
      <c r="Z172" s="49"/>
      <c r="AA172" s="49"/>
      <c r="AB172" s="49"/>
      <c r="AC172" s="49">
        <f t="shared" si="60"/>
        <v>0</v>
      </c>
      <c r="AD172" s="49"/>
      <c r="AE172" s="49"/>
      <c r="AF172" s="49"/>
      <c r="AG172" s="49"/>
      <c r="AH172" s="49"/>
      <c r="AI172" s="49"/>
      <c r="AJ172" s="49"/>
      <c r="AK172" s="49"/>
      <c r="AL172" s="49"/>
      <c r="AM172" s="49"/>
      <c r="AN172" s="49"/>
      <c r="AO172" s="49"/>
      <c r="AP172" s="42"/>
      <c r="AQ172" s="49"/>
      <c r="AR172" s="49"/>
      <c r="AS172" s="49"/>
      <c r="AT172" s="49"/>
      <c r="AU172" s="49"/>
      <c r="AV172" s="49"/>
      <c r="AW172" s="49"/>
      <c r="AX172" s="49"/>
      <c r="AY172" s="49"/>
      <c r="AZ172" s="73">
        <f t="shared" si="70"/>
        <v>0</v>
      </c>
    </row>
    <row r="173" spans="1:52" ht="20.100000000000001" customHeight="1">
      <c r="A173" s="68"/>
      <c r="B173" s="69"/>
      <c r="C173" s="240" t="s">
        <v>342</v>
      </c>
      <c r="D173" s="240"/>
      <c r="E173" s="241"/>
      <c r="F173" s="70"/>
      <c r="G173" s="71"/>
      <c r="H173" s="71"/>
      <c r="I173" s="71"/>
      <c r="J173" s="240" t="s">
        <v>283</v>
      </c>
      <c r="K173" s="241"/>
      <c r="L173" s="49">
        <v>2550000</v>
      </c>
      <c r="M173" s="49">
        <v>0</v>
      </c>
      <c r="N173" s="49"/>
      <c r="O173" s="49"/>
      <c r="P173" s="49"/>
      <c r="Q173" s="49">
        <f>SUM(N173:P173)</f>
        <v>0</v>
      </c>
      <c r="R173" s="72"/>
      <c r="S173" s="49">
        <f>M173-Q173</f>
        <v>0</v>
      </c>
      <c r="T173" s="49">
        <v>0</v>
      </c>
      <c r="U173" s="49">
        <f>T173+M173</f>
        <v>0</v>
      </c>
      <c r="V173" s="49">
        <f>T173+S173</f>
        <v>0</v>
      </c>
      <c r="W173" s="49"/>
      <c r="X173" s="49"/>
      <c r="Y173" s="49"/>
      <c r="Z173" s="49"/>
      <c r="AA173" s="49">
        <v>0</v>
      </c>
      <c r="AB173" s="49">
        <v>2550000</v>
      </c>
      <c r="AC173" s="49">
        <f t="shared" si="60"/>
        <v>0</v>
      </c>
      <c r="AD173" s="49">
        <f>AA173+T173+M173</f>
        <v>0</v>
      </c>
      <c r="AE173" s="49"/>
      <c r="AF173" s="49"/>
      <c r="AG173" s="49"/>
      <c r="AH173" s="49"/>
      <c r="AI173" s="49"/>
      <c r="AJ173" s="49"/>
      <c r="AK173" s="49">
        <f>Z173+Y173+X173+W173+N173+AG173+AJ173+AI173+AH173</f>
        <v>0</v>
      </c>
      <c r="AL173" s="49">
        <f>AK173/AB173*100</f>
        <v>0</v>
      </c>
      <c r="AM173" s="49"/>
      <c r="AN173" s="49">
        <v>1700000</v>
      </c>
      <c r="AO173" s="49"/>
      <c r="AP173" s="42">
        <v>850000</v>
      </c>
      <c r="AQ173" s="49">
        <f>AK173+AM173+AN173+AO173+AP173</f>
        <v>2550000</v>
      </c>
      <c r="AR173" s="49">
        <f>AQ173/AB173*100</f>
        <v>100</v>
      </c>
      <c r="AS173" s="49">
        <f>AB173-AQ173</f>
        <v>0</v>
      </c>
      <c r="AT173" s="49">
        <v>3091500</v>
      </c>
      <c r="AU173" s="49">
        <f>AT173+U173</f>
        <v>3091500</v>
      </c>
      <c r="AV173" s="49">
        <f>AK173</f>
        <v>0</v>
      </c>
      <c r="AW173" s="72">
        <f>AV173/AU173*100</f>
        <v>0</v>
      </c>
      <c r="AX173" s="49">
        <f>AU173-AV173</f>
        <v>3091500</v>
      </c>
      <c r="AY173" s="49">
        <f>AS173/AB173*100</f>
        <v>0</v>
      </c>
      <c r="AZ173" s="73">
        <f t="shared" si="70"/>
        <v>2550000</v>
      </c>
    </row>
    <row r="174" spans="1:52" ht="20.100000000000001" customHeight="1">
      <c r="A174" s="68"/>
      <c r="B174" s="69"/>
      <c r="C174" s="240" t="s">
        <v>343</v>
      </c>
      <c r="D174" s="240"/>
      <c r="E174" s="241"/>
      <c r="F174" s="70"/>
      <c r="G174" s="71"/>
      <c r="H174" s="240" t="s">
        <v>143</v>
      </c>
      <c r="I174" s="240"/>
      <c r="J174" s="240"/>
      <c r="K174" s="241"/>
      <c r="L174" s="49"/>
      <c r="M174" s="49"/>
      <c r="N174" s="49"/>
      <c r="O174" s="49"/>
      <c r="P174" s="49"/>
      <c r="Q174" s="49"/>
      <c r="R174" s="72"/>
      <c r="S174" s="49"/>
      <c r="T174" s="49"/>
      <c r="U174" s="49"/>
      <c r="V174" s="49"/>
      <c r="W174" s="49"/>
      <c r="X174" s="49"/>
      <c r="Y174" s="49"/>
      <c r="Z174" s="49"/>
      <c r="AA174" s="49"/>
      <c r="AB174" s="49"/>
      <c r="AC174" s="49">
        <f t="shared" si="60"/>
        <v>0</v>
      </c>
      <c r="AD174" s="49"/>
      <c r="AE174" s="49"/>
      <c r="AF174" s="49"/>
      <c r="AG174" s="49"/>
      <c r="AH174" s="49"/>
      <c r="AI174" s="49"/>
      <c r="AJ174" s="49"/>
      <c r="AK174" s="49"/>
      <c r="AL174" s="49"/>
      <c r="AM174" s="49"/>
      <c r="AN174" s="49"/>
      <c r="AO174" s="49"/>
      <c r="AP174" s="42"/>
      <c r="AQ174" s="49"/>
      <c r="AR174" s="49"/>
      <c r="AS174" s="49"/>
      <c r="AT174" s="49"/>
      <c r="AU174" s="49"/>
      <c r="AV174" s="49"/>
      <c r="AW174" s="49"/>
      <c r="AX174" s="49"/>
      <c r="AY174" s="49"/>
      <c r="AZ174" s="73">
        <f t="shared" si="70"/>
        <v>0</v>
      </c>
    </row>
    <row r="175" spans="1:52" ht="20.100000000000001" customHeight="1">
      <c r="A175" s="68"/>
      <c r="B175" s="69"/>
      <c r="C175" s="240" t="s">
        <v>344</v>
      </c>
      <c r="D175" s="240"/>
      <c r="E175" s="241"/>
      <c r="F175" s="70"/>
      <c r="G175" s="71"/>
      <c r="H175" s="71"/>
      <c r="I175" s="240" t="s">
        <v>145</v>
      </c>
      <c r="J175" s="240"/>
      <c r="K175" s="241"/>
      <c r="L175" s="49"/>
      <c r="M175" s="49"/>
      <c r="N175" s="49"/>
      <c r="O175" s="49"/>
      <c r="P175" s="49"/>
      <c r="Q175" s="49"/>
      <c r="R175" s="72"/>
      <c r="S175" s="49"/>
      <c r="T175" s="49">
        <v>0</v>
      </c>
      <c r="U175" s="49">
        <f>T175+M175</f>
        <v>0</v>
      </c>
      <c r="V175" s="49">
        <f>T175+S175</f>
        <v>0</v>
      </c>
      <c r="W175" s="49"/>
      <c r="X175" s="49"/>
      <c r="Y175" s="49"/>
      <c r="Z175" s="49"/>
      <c r="AA175" s="49">
        <v>0</v>
      </c>
      <c r="AB175" s="49"/>
      <c r="AC175" s="49">
        <f t="shared" si="60"/>
        <v>0</v>
      </c>
      <c r="AD175" s="49"/>
      <c r="AE175" s="49"/>
      <c r="AF175" s="49"/>
      <c r="AG175" s="49"/>
      <c r="AH175" s="49"/>
      <c r="AI175" s="49"/>
      <c r="AJ175" s="49"/>
      <c r="AK175" s="49"/>
      <c r="AL175" s="49"/>
      <c r="AM175" s="49"/>
      <c r="AN175" s="49"/>
      <c r="AO175" s="49"/>
      <c r="AP175" s="42"/>
      <c r="AQ175" s="49"/>
      <c r="AR175" s="49"/>
      <c r="AS175" s="49"/>
      <c r="AT175" s="49"/>
      <c r="AU175" s="49"/>
      <c r="AV175" s="49"/>
      <c r="AW175" s="49"/>
      <c r="AX175" s="49"/>
      <c r="AY175" s="49"/>
      <c r="AZ175" s="73">
        <f t="shared" si="70"/>
        <v>0</v>
      </c>
    </row>
    <row r="176" spans="1:52" ht="20.100000000000001" customHeight="1">
      <c r="A176" s="68"/>
      <c r="B176" s="69"/>
      <c r="C176" s="240" t="s">
        <v>345</v>
      </c>
      <c r="D176" s="240"/>
      <c r="E176" s="241"/>
      <c r="F176" s="70"/>
      <c r="G176" s="71"/>
      <c r="H176" s="71"/>
      <c r="I176" s="71"/>
      <c r="J176" s="240" t="s">
        <v>147</v>
      </c>
      <c r="K176" s="241"/>
      <c r="L176" s="49">
        <v>630500</v>
      </c>
      <c r="M176" s="49">
        <v>630500</v>
      </c>
      <c r="N176" s="49">
        <v>630500</v>
      </c>
      <c r="O176" s="49"/>
      <c r="P176" s="49"/>
      <c r="Q176" s="49">
        <f>SUM(N176:P176)</f>
        <v>630500</v>
      </c>
      <c r="R176" s="72">
        <f>Q176/M176*100</f>
        <v>100</v>
      </c>
      <c r="S176" s="49">
        <f>M176-Q176</f>
        <v>0</v>
      </c>
      <c r="T176" s="49">
        <v>0</v>
      </c>
      <c r="U176" s="49">
        <f>T176+M176</f>
        <v>630500</v>
      </c>
      <c r="V176" s="49">
        <f>T176+S176</f>
        <v>0</v>
      </c>
      <c r="W176" s="49"/>
      <c r="X176" s="49"/>
      <c r="Y176" s="49"/>
      <c r="Z176" s="49"/>
      <c r="AA176" s="49">
        <v>0</v>
      </c>
      <c r="AB176" s="49">
        <v>630500</v>
      </c>
      <c r="AC176" s="49">
        <f t="shared" si="60"/>
        <v>0</v>
      </c>
      <c r="AD176" s="49">
        <f>AA176+T176+M176</f>
        <v>630500</v>
      </c>
      <c r="AE176" s="49"/>
      <c r="AF176" s="49"/>
      <c r="AG176" s="49"/>
      <c r="AH176" s="49"/>
      <c r="AI176" s="49"/>
      <c r="AJ176" s="49"/>
      <c r="AK176" s="49">
        <f>Z176+Y176+X176+W176+N176+AG176+AJ176+AI176+AH176</f>
        <v>630500</v>
      </c>
      <c r="AL176" s="49">
        <f>AK176/AD176*100</f>
        <v>100</v>
      </c>
      <c r="AM176" s="49"/>
      <c r="AN176" s="49"/>
      <c r="AO176" s="49"/>
      <c r="AP176" s="42"/>
      <c r="AQ176" s="49">
        <f>AK176+AM176+AN176+AO176+AP176</f>
        <v>630500</v>
      </c>
      <c r="AR176" s="49">
        <f>AQ176/AB176*100</f>
        <v>100</v>
      </c>
      <c r="AS176" s="49">
        <f>AB176-AQ176</f>
        <v>0</v>
      </c>
      <c r="AT176" s="49">
        <v>3091500</v>
      </c>
      <c r="AU176" s="49">
        <f>AT176+U176</f>
        <v>3722000</v>
      </c>
      <c r="AV176" s="49">
        <f>AK176</f>
        <v>630500</v>
      </c>
      <c r="AW176" s="72">
        <f>AV176/AU176*100</f>
        <v>16.939817302525523</v>
      </c>
      <c r="AX176" s="49">
        <f>AU176-AV176</f>
        <v>3091500</v>
      </c>
      <c r="AY176" s="49">
        <f>AS176/AB176*100</f>
        <v>0</v>
      </c>
      <c r="AZ176" s="73">
        <f t="shared" si="70"/>
        <v>630500</v>
      </c>
    </row>
    <row r="177" spans="1:52" ht="20.100000000000001" customHeight="1">
      <c r="A177" s="68"/>
      <c r="B177" s="69"/>
      <c r="C177" s="240" t="s">
        <v>346</v>
      </c>
      <c r="D177" s="240"/>
      <c r="E177" s="241"/>
      <c r="F177" s="70"/>
      <c r="G177" s="71"/>
      <c r="H177" s="71"/>
      <c r="I177" s="71"/>
      <c r="J177" s="240" t="s">
        <v>149</v>
      </c>
      <c r="K177" s="241"/>
      <c r="L177" s="49">
        <v>190000</v>
      </c>
      <c r="M177" s="49">
        <v>190000</v>
      </c>
      <c r="N177" s="49">
        <v>150000</v>
      </c>
      <c r="O177" s="49"/>
      <c r="P177" s="49"/>
      <c r="Q177" s="49">
        <f>SUM(N177:P177)</f>
        <v>150000</v>
      </c>
      <c r="R177" s="72">
        <f>Q177/M177*100</f>
        <v>78.94736842105263</v>
      </c>
      <c r="S177" s="49">
        <f>M177-Q177</f>
        <v>40000</v>
      </c>
      <c r="T177" s="49">
        <v>0</v>
      </c>
      <c r="U177" s="49">
        <f>T177+M177</f>
        <v>190000</v>
      </c>
      <c r="V177" s="49">
        <f>T177+S177</f>
        <v>40000</v>
      </c>
      <c r="W177" s="49"/>
      <c r="X177" s="49"/>
      <c r="Y177" s="49"/>
      <c r="Z177" s="49"/>
      <c r="AA177" s="49">
        <v>0</v>
      </c>
      <c r="AB177" s="49">
        <v>190000</v>
      </c>
      <c r="AC177" s="49">
        <f t="shared" ref="AC177:AC240" si="72">AB177-L177</f>
        <v>0</v>
      </c>
      <c r="AD177" s="49">
        <f>AA177+T177+M177</f>
        <v>190000</v>
      </c>
      <c r="AE177" s="49"/>
      <c r="AF177" s="49"/>
      <c r="AG177" s="49"/>
      <c r="AH177" s="49"/>
      <c r="AI177" s="49"/>
      <c r="AJ177" s="49"/>
      <c r="AK177" s="49">
        <f>Z177+Y177+X177+W177+N177+AG177+AJ177+AI177+AH177</f>
        <v>150000</v>
      </c>
      <c r="AL177" s="49">
        <f>AK177/AD177*100</f>
        <v>78.94736842105263</v>
      </c>
      <c r="AM177" s="49"/>
      <c r="AN177" s="49"/>
      <c r="AO177" s="49"/>
      <c r="AP177" s="42"/>
      <c r="AQ177" s="49">
        <f>AK177+AM177+AN177+AO177+AP177</f>
        <v>150000</v>
      </c>
      <c r="AR177" s="49">
        <f>AQ177/AB177*100</f>
        <v>78.94736842105263</v>
      </c>
      <c r="AS177" s="49">
        <f>AB177-AQ177</f>
        <v>40000</v>
      </c>
      <c r="AT177" s="49">
        <v>3091500</v>
      </c>
      <c r="AU177" s="49">
        <f>AT177+U177</f>
        <v>3281500</v>
      </c>
      <c r="AV177" s="49">
        <f>AK177</f>
        <v>150000</v>
      </c>
      <c r="AW177" s="72">
        <f>AV177/AU177*100</f>
        <v>4.5710802986439125</v>
      </c>
      <c r="AX177" s="49">
        <f>AU177-AV177</f>
        <v>3131500</v>
      </c>
      <c r="AY177" s="49">
        <f>AS177/AB177*100</f>
        <v>21.052631578947366</v>
      </c>
      <c r="AZ177" s="73">
        <f t="shared" si="70"/>
        <v>150000</v>
      </c>
    </row>
    <row r="178" spans="1:52" ht="20.100000000000001" customHeight="1">
      <c r="A178" s="68"/>
      <c r="B178" s="69"/>
      <c r="C178" s="240" t="s">
        <v>347</v>
      </c>
      <c r="D178" s="240"/>
      <c r="E178" s="241"/>
      <c r="F178" s="70"/>
      <c r="G178" s="71"/>
      <c r="H178" s="71"/>
      <c r="I178" s="240" t="s">
        <v>163</v>
      </c>
      <c r="J178" s="240"/>
      <c r="K178" s="241"/>
      <c r="L178" s="49"/>
      <c r="M178" s="49"/>
      <c r="N178" s="49"/>
      <c r="O178" s="49"/>
      <c r="P178" s="49"/>
      <c r="Q178" s="49"/>
      <c r="R178" s="72"/>
      <c r="S178" s="49"/>
      <c r="T178" s="49"/>
      <c r="U178" s="49"/>
      <c r="V178" s="49"/>
      <c r="W178" s="49"/>
      <c r="X178" s="49"/>
      <c r="Y178" s="49"/>
      <c r="Z178" s="49"/>
      <c r="AA178" s="49"/>
      <c r="AB178" s="49"/>
      <c r="AC178" s="49">
        <f t="shared" si="72"/>
        <v>0</v>
      </c>
      <c r="AD178" s="49"/>
      <c r="AE178" s="49"/>
      <c r="AF178" s="49"/>
      <c r="AG178" s="49"/>
      <c r="AH178" s="49"/>
      <c r="AI178" s="49"/>
      <c r="AJ178" s="49"/>
      <c r="AK178" s="49"/>
      <c r="AL178" s="49"/>
      <c r="AM178" s="49"/>
      <c r="AN178" s="49"/>
      <c r="AO178" s="49"/>
      <c r="AP178" s="42"/>
      <c r="AQ178" s="49"/>
      <c r="AR178" s="49"/>
      <c r="AS178" s="49"/>
      <c r="AT178" s="49"/>
      <c r="AU178" s="49"/>
      <c r="AV178" s="49"/>
      <c r="AW178" s="49"/>
      <c r="AX178" s="49"/>
      <c r="AY178" s="49"/>
      <c r="AZ178" s="73">
        <f t="shared" si="70"/>
        <v>0</v>
      </c>
    </row>
    <row r="179" spans="1:52" ht="20.100000000000001" customHeight="1">
      <c r="A179" s="68"/>
      <c r="B179" s="69"/>
      <c r="C179" s="240" t="s">
        <v>348</v>
      </c>
      <c r="D179" s="240"/>
      <c r="E179" s="241"/>
      <c r="F179" s="70"/>
      <c r="G179" s="71"/>
      <c r="H179" s="71"/>
      <c r="I179" s="71"/>
      <c r="J179" s="240" t="s">
        <v>349</v>
      </c>
      <c r="K179" s="241"/>
      <c r="L179" s="49">
        <v>350000</v>
      </c>
      <c r="M179" s="49">
        <v>0</v>
      </c>
      <c r="N179" s="49"/>
      <c r="O179" s="49"/>
      <c r="P179" s="49"/>
      <c r="Q179" s="49">
        <f>SUM(N179:P179)</f>
        <v>0</v>
      </c>
      <c r="R179" s="72"/>
      <c r="S179" s="49">
        <f>M179-Q179</f>
        <v>0</v>
      </c>
      <c r="T179" s="49">
        <v>0</v>
      </c>
      <c r="U179" s="49">
        <f>T179+M179</f>
        <v>0</v>
      </c>
      <c r="V179" s="49">
        <f>T179+S179</f>
        <v>0</v>
      </c>
      <c r="W179" s="49"/>
      <c r="X179" s="49"/>
      <c r="Y179" s="49"/>
      <c r="Z179" s="49"/>
      <c r="AA179" s="49">
        <v>0</v>
      </c>
      <c r="AB179" s="49">
        <v>350000</v>
      </c>
      <c r="AC179" s="49">
        <f t="shared" si="72"/>
        <v>0</v>
      </c>
      <c r="AD179" s="49">
        <f>AA179+T179+M179</f>
        <v>0</v>
      </c>
      <c r="AE179" s="49"/>
      <c r="AF179" s="49"/>
      <c r="AG179" s="49"/>
      <c r="AH179" s="49"/>
      <c r="AI179" s="49"/>
      <c r="AJ179" s="49"/>
      <c r="AK179" s="49">
        <f>Z179+Y179+X179+W179+N179+AG179+AJ179+AI179+AH179</f>
        <v>0</v>
      </c>
      <c r="AL179" s="49" t="e">
        <f>AK179/AD179*100</f>
        <v>#DIV/0!</v>
      </c>
      <c r="AM179" s="49"/>
      <c r="AN179" s="49">
        <v>350000</v>
      </c>
      <c r="AO179" s="49"/>
      <c r="AP179" s="42"/>
      <c r="AQ179" s="49">
        <f>AK179+AM179+AN179+AO179+AP179</f>
        <v>350000</v>
      </c>
      <c r="AR179" s="49">
        <f>AQ179/AB179*100</f>
        <v>100</v>
      </c>
      <c r="AS179" s="49">
        <f>AB179-AQ179</f>
        <v>0</v>
      </c>
      <c r="AT179" s="49">
        <v>3091500</v>
      </c>
      <c r="AU179" s="49">
        <f>AT179+U179</f>
        <v>3091500</v>
      </c>
      <c r="AV179" s="49">
        <f>AK179</f>
        <v>0</v>
      </c>
      <c r="AW179" s="72">
        <f>AV179/AU179*100</f>
        <v>0</v>
      </c>
      <c r="AX179" s="49">
        <f>AU179-AV179</f>
        <v>3091500</v>
      </c>
      <c r="AY179" s="49">
        <f>AS179/AB179*100</f>
        <v>0</v>
      </c>
      <c r="AZ179" s="73">
        <f t="shared" si="70"/>
        <v>350000</v>
      </c>
    </row>
    <row r="180" spans="1:52" ht="20.100000000000001" customHeight="1">
      <c r="A180" s="68"/>
      <c r="B180" s="69"/>
      <c r="C180" s="240" t="s">
        <v>350</v>
      </c>
      <c r="D180" s="240"/>
      <c r="E180" s="241"/>
      <c r="F180" s="70"/>
      <c r="G180" s="71"/>
      <c r="H180" s="71"/>
      <c r="I180" s="71"/>
      <c r="J180" s="240" t="s">
        <v>231</v>
      </c>
      <c r="K180" s="241"/>
      <c r="L180" s="49">
        <v>536000</v>
      </c>
      <c r="M180" s="49">
        <v>0</v>
      </c>
      <c r="N180" s="49"/>
      <c r="O180" s="49"/>
      <c r="P180" s="49"/>
      <c r="Q180" s="49">
        <f>SUM(N180:P180)</f>
        <v>0</v>
      </c>
      <c r="R180" s="72"/>
      <c r="S180" s="49">
        <f>M180-Q180</f>
        <v>0</v>
      </c>
      <c r="T180" s="49">
        <v>0</v>
      </c>
      <c r="U180" s="49">
        <f>T180+M180</f>
        <v>0</v>
      </c>
      <c r="V180" s="49">
        <f>T180+S180</f>
        <v>0</v>
      </c>
      <c r="W180" s="49"/>
      <c r="X180" s="49"/>
      <c r="Y180" s="49"/>
      <c r="Z180" s="49"/>
      <c r="AA180" s="49">
        <v>0</v>
      </c>
      <c r="AB180" s="49">
        <v>536000</v>
      </c>
      <c r="AC180" s="49">
        <f t="shared" si="72"/>
        <v>0</v>
      </c>
      <c r="AD180" s="49">
        <f>AA180+T180+M180</f>
        <v>0</v>
      </c>
      <c r="AE180" s="49"/>
      <c r="AF180" s="49"/>
      <c r="AG180" s="49"/>
      <c r="AH180" s="49"/>
      <c r="AI180" s="49"/>
      <c r="AJ180" s="49"/>
      <c r="AK180" s="49">
        <f>Z180+Y180+X180+W180+N180+AG180+AJ180+AI180+AH180</f>
        <v>0</v>
      </c>
      <c r="AL180" s="49" t="e">
        <f>AK180/AD180*100</f>
        <v>#DIV/0!</v>
      </c>
      <c r="AM180" s="49"/>
      <c r="AN180" s="49">
        <v>0</v>
      </c>
      <c r="AO180" s="49"/>
      <c r="AP180" s="42">
        <v>536000</v>
      </c>
      <c r="AQ180" s="49">
        <f>AK180+AM180+AN180+AO180+AP180</f>
        <v>536000</v>
      </c>
      <c r="AR180" s="49">
        <f>AQ180/AB180*100</f>
        <v>100</v>
      </c>
      <c r="AS180" s="49">
        <f>AB180-AQ180</f>
        <v>0</v>
      </c>
      <c r="AT180" s="49">
        <v>3091500</v>
      </c>
      <c r="AU180" s="49">
        <f>AT180+U180</f>
        <v>3091500</v>
      </c>
      <c r="AV180" s="49">
        <f>AK180</f>
        <v>0</v>
      </c>
      <c r="AW180" s="72">
        <f>AV180/AU180*100</f>
        <v>0</v>
      </c>
      <c r="AX180" s="49">
        <f>AU180-AV180</f>
        <v>3091500</v>
      </c>
      <c r="AY180" s="49">
        <f>AS180/AB180*100</f>
        <v>0</v>
      </c>
      <c r="AZ180" s="73">
        <f t="shared" si="70"/>
        <v>536000</v>
      </c>
    </row>
    <row r="181" spans="1:52" ht="20.100000000000001" customHeight="1">
      <c r="A181" s="68"/>
      <c r="B181" s="69"/>
      <c r="C181" s="240" t="s">
        <v>351</v>
      </c>
      <c r="D181" s="240"/>
      <c r="E181" s="241"/>
      <c r="F181" s="70"/>
      <c r="G181" s="71"/>
      <c r="H181" s="71"/>
      <c r="I181" s="71"/>
      <c r="J181" s="240" t="s">
        <v>352</v>
      </c>
      <c r="K181" s="241"/>
      <c r="L181" s="49">
        <v>24000000</v>
      </c>
      <c r="M181" s="49">
        <v>0</v>
      </c>
      <c r="N181" s="49"/>
      <c r="O181" s="49"/>
      <c r="P181" s="49"/>
      <c r="Q181" s="49">
        <f>SUM(N181:P181)</f>
        <v>0</v>
      </c>
      <c r="R181" s="72"/>
      <c r="S181" s="49">
        <f>M181-Q181</f>
        <v>0</v>
      </c>
      <c r="T181" s="49">
        <v>0</v>
      </c>
      <c r="U181" s="49">
        <f>T181+M181</f>
        <v>0</v>
      </c>
      <c r="V181" s="49">
        <f>T181+S181</f>
        <v>0</v>
      </c>
      <c r="W181" s="49"/>
      <c r="X181" s="49"/>
      <c r="Y181" s="49"/>
      <c r="Z181" s="49"/>
      <c r="AA181" s="49">
        <v>0</v>
      </c>
      <c r="AB181" s="49">
        <v>24000000</v>
      </c>
      <c r="AC181" s="49">
        <f t="shared" si="72"/>
        <v>0</v>
      </c>
      <c r="AD181" s="49">
        <f>AA181+T181+M181</f>
        <v>0</v>
      </c>
      <c r="AE181" s="49"/>
      <c r="AF181" s="49"/>
      <c r="AG181" s="49"/>
      <c r="AH181" s="49"/>
      <c r="AI181" s="49"/>
      <c r="AJ181" s="49"/>
      <c r="AK181" s="49">
        <f>Z181+Y181+X181+W181+N181+AG181+AJ181+AI181+AH181</f>
        <v>0</v>
      </c>
      <c r="AL181" s="49" t="e">
        <f>AK181/AD181*100</f>
        <v>#DIV/0!</v>
      </c>
      <c r="AM181" s="49"/>
      <c r="AN181" s="49">
        <v>0</v>
      </c>
      <c r="AO181" s="49"/>
      <c r="AP181" s="42">
        <v>24000000</v>
      </c>
      <c r="AQ181" s="49">
        <f>AK181+AM181+AN181+AO181+AP181</f>
        <v>24000000</v>
      </c>
      <c r="AR181" s="49">
        <f>AQ181/AB181*100</f>
        <v>100</v>
      </c>
      <c r="AS181" s="49">
        <f>AB181-AQ181</f>
        <v>0</v>
      </c>
      <c r="AT181" s="49">
        <v>3091500</v>
      </c>
      <c r="AU181" s="49">
        <f>AT181+U181</f>
        <v>3091500</v>
      </c>
      <c r="AV181" s="49">
        <f>AK181</f>
        <v>0</v>
      </c>
      <c r="AW181" s="72">
        <f>AV181/AU181*100</f>
        <v>0</v>
      </c>
      <c r="AX181" s="49">
        <f>AU181-AV181</f>
        <v>3091500</v>
      </c>
      <c r="AY181" s="49">
        <f>AS181/AB181*100</f>
        <v>0</v>
      </c>
      <c r="AZ181" s="73">
        <f t="shared" si="70"/>
        <v>24000000</v>
      </c>
    </row>
    <row r="182" spans="1:52" ht="20.100000000000001" customHeight="1">
      <c r="A182" s="68"/>
      <c r="B182" s="69"/>
      <c r="C182" s="240" t="s">
        <v>353</v>
      </c>
      <c r="D182" s="240"/>
      <c r="E182" s="241"/>
      <c r="F182" s="70"/>
      <c r="G182" s="71"/>
      <c r="H182" s="71"/>
      <c r="I182" s="240" t="s">
        <v>151</v>
      </c>
      <c r="J182" s="240"/>
      <c r="K182" s="241"/>
      <c r="L182" s="49"/>
      <c r="M182" s="49"/>
      <c r="N182" s="49"/>
      <c r="O182" s="49"/>
      <c r="P182" s="49"/>
      <c r="Q182" s="49"/>
      <c r="R182" s="72"/>
      <c r="S182" s="49"/>
      <c r="T182" s="49"/>
      <c r="U182" s="49"/>
      <c r="V182" s="49"/>
      <c r="W182" s="49"/>
      <c r="X182" s="49"/>
      <c r="Y182" s="49"/>
      <c r="Z182" s="49"/>
      <c r="AA182" s="49"/>
      <c r="AB182" s="49"/>
      <c r="AC182" s="49">
        <f t="shared" si="72"/>
        <v>0</v>
      </c>
      <c r="AD182" s="49"/>
      <c r="AE182" s="49"/>
      <c r="AF182" s="49"/>
      <c r="AG182" s="49"/>
      <c r="AH182" s="49"/>
      <c r="AI182" s="49"/>
      <c r="AJ182" s="49"/>
      <c r="AK182" s="49"/>
      <c r="AL182" s="49"/>
      <c r="AM182" s="49"/>
      <c r="AN182" s="49"/>
      <c r="AO182" s="49"/>
      <c r="AP182" s="42"/>
      <c r="AQ182" s="49"/>
      <c r="AR182" s="49"/>
      <c r="AS182" s="49"/>
      <c r="AT182" s="49"/>
      <c r="AU182" s="49"/>
      <c r="AV182" s="49"/>
      <c r="AW182" s="49"/>
      <c r="AX182" s="49"/>
      <c r="AY182" s="49"/>
      <c r="AZ182" s="73">
        <f t="shared" si="70"/>
        <v>0</v>
      </c>
    </row>
    <row r="183" spans="1:52" ht="20.100000000000001" customHeight="1">
      <c r="A183" s="68"/>
      <c r="B183" s="69"/>
      <c r="C183" s="240" t="s">
        <v>354</v>
      </c>
      <c r="D183" s="240"/>
      <c r="E183" s="241"/>
      <c r="F183" s="70"/>
      <c r="G183" s="71"/>
      <c r="H183" s="71"/>
      <c r="I183" s="71"/>
      <c r="J183" s="240" t="s">
        <v>153</v>
      </c>
      <c r="K183" s="241"/>
      <c r="L183" s="49">
        <v>120000</v>
      </c>
      <c r="M183" s="49">
        <v>0</v>
      </c>
      <c r="N183" s="49"/>
      <c r="O183" s="49"/>
      <c r="P183" s="49"/>
      <c r="Q183" s="49">
        <f>SUM(N183:P183)</f>
        <v>0</v>
      </c>
      <c r="R183" s="72"/>
      <c r="S183" s="49">
        <f>M183-Q183</f>
        <v>0</v>
      </c>
      <c r="T183" s="49">
        <v>0</v>
      </c>
      <c r="U183" s="49">
        <f>T183+M183</f>
        <v>0</v>
      </c>
      <c r="V183" s="49">
        <f>T183+S183</f>
        <v>0</v>
      </c>
      <c r="W183" s="49"/>
      <c r="X183" s="49"/>
      <c r="Y183" s="49"/>
      <c r="Z183" s="49"/>
      <c r="AA183" s="49">
        <v>0</v>
      </c>
      <c r="AB183" s="49">
        <v>120000</v>
      </c>
      <c r="AC183" s="49">
        <f t="shared" si="72"/>
        <v>0</v>
      </c>
      <c r="AD183" s="49">
        <f>AA183+T183+M183</f>
        <v>0</v>
      </c>
      <c r="AE183" s="49"/>
      <c r="AF183" s="49"/>
      <c r="AG183" s="49"/>
      <c r="AH183" s="49"/>
      <c r="AI183" s="49"/>
      <c r="AJ183" s="49"/>
      <c r="AK183" s="49">
        <f>Z183+Y183+X183+W183+N183+AG183+AJ183+AI183+AH183</f>
        <v>0</v>
      </c>
      <c r="AL183" s="49" t="e">
        <f>AK183/AD183*100</f>
        <v>#DIV/0!</v>
      </c>
      <c r="AM183" s="49"/>
      <c r="AN183" s="49">
        <v>120000</v>
      </c>
      <c r="AO183" s="49"/>
      <c r="AP183" s="42"/>
      <c r="AQ183" s="49">
        <f>AK183+AM183+AN183+AO183+AP183</f>
        <v>120000</v>
      </c>
      <c r="AR183" s="49">
        <f>AQ183/AB183*100</f>
        <v>100</v>
      </c>
      <c r="AS183" s="49">
        <f>AB183-AQ183</f>
        <v>0</v>
      </c>
      <c r="AT183" s="49">
        <v>3091500</v>
      </c>
      <c r="AU183" s="49">
        <f>AT183+U183</f>
        <v>3091500</v>
      </c>
      <c r="AV183" s="49">
        <f>AK183</f>
        <v>0</v>
      </c>
      <c r="AW183" s="72">
        <f>AV183/AU183*100</f>
        <v>0</v>
      </c>
      <c r="AX183" s="49">
        <f>AU183-AV183</f>
        <v>3091500</v>
      </c>
      <c r="AY183" s="49">
        <f>AS183/AB183*100</f>
        <v>0</v>
      </c>
      <c r="AZ183" s="73">
        <f t="shared" si="70"/>
        <v>120000</v>
      </c>
    </row>
    <row r="184" spans="1:52" ht="20.100000000000001" customHeight="1">
      <c r="A184" s="68"/>
      <c r="B184" s="69"/>
      <c r="C184" s="240" t="s">
        <v>355</v>
      </c>
      <c r="D184" s="240"/>
      <c r="E184" s="241"/>
      <c r="F184" s="70"/>
      <c r="G184" s="71"/>
      <c r="H184" s="71"/>
      <c r="I184" s="71"/>
      <c r="J184" s="240" t="s">
        <v>155</v>
      </c>
      <c r="K184" s="241"/>
      <c r="L184" s="49">
        <v>383500</v>
      </c>
      <c r="M184" s="49">
        <v>0</v>
      </c>
      <c r="N184" s="49"/>
      <c r="O184" s="49"/>
      <c r="P184" s="49"/>
      <c r="Q184" s="49">
        <f>SUM(N184:P184)</f>
        <v>0</v>
      </c>
      <c r="R184" s="72"/>
      <c r="S184" s="49">
        <f>M184-Q184</f>
        <v>0</v>
      </c>
      <c r="T184" s="49">
        <v>0</v>
      </c>
      <c r="U184" s="49">
        <f>T184+M184</f>
        <v>0</v>
      </c>
      <c r="V184" s="49">
        <f>T184+S184</f>
        <v>0</v>
      </c>
      <c r="W184" s="49"/>
      <c r="X184" s="49"/>
      <c r="Y184" s="49"/>
      <c r="Z184" s="49"/>
      <c r="AA184" s="49">
        <v>0</v>
      </c>
      <c r="AB184" s="49">
        <v>383500</v>
      </c>
      <c r="AC184" s="49">
        <f t="shared" si="72"/>
        <v>0</v>
      </c>
      <c r="AD184" s="49">
        <f>AA184+T184+M184</f>
        <v>0</v>
      </c>
      <c r="AE184" s="49"/>
      <c r="AF184" s="49"/>
      <c r="AG184" s="49"/>
      <c r="AH184" s="49"/>
      <c r="AI184" s="49"/>
      <c r="AJ184" s="49"/>
      <c r="AK184" s="49">
        <f>Z184+Y184+X184+W184+N184+AG184+AJ184+AI184+AH184</f>
        <v>0</v>
      </c>
      <c r="AL184" s="49" t="e">
        <f>AK184/AD184*100</f>
        <v>#DIV/0!</v>
      </c>
      <c r="AM184" s="49"/>
      <c r="AN184" s="49">
        <v>383425</v>
      </c>
      <c r="AO184" s="49"/>
      <c r="AP184" s="42"/>
      <c r="AQ184" s="49">
        <f>AK184+AM184+AN184+AO184+AP184</f>
        <v>383425</v>
      </c>
      <c r="AR184" s="49">
        <f>AQ184/AB184*100</f>
        <v>99.980443285528025</v>
      </c>
      <c r="AS184" s="49">
        <f>AB184-AQ184</f>
        <v>75</v>
      </c>
      <c r="AT184" s="49">
        <v>3091500</v>
      </c>
      <c r="AU184" s="49">
        <f>AT184+U184</f>
        <v>3091500</v>
      </c>
      <c r="AV184" s="49">
        <f>AK184</f>
        <v>0</v>
      </c>
      <c r="AW184" s="72">
        <f>AV184/AU184*100</f>
        <v>0</v>
      </c>
      <c r="AX184" s="49">
        <f>AU184-AV184</f>
        <v>3091500</v>
      </c>
      <c r="AY184" s="49">
        <f>AS184/AB184*100</f>
        <v>1.955671447196871E-2</v>
      </c>
      <c r="AZ184" s="73">
        <f t="shared" si="70"/>
        <v>383425</v>
      </c>
    </row>
    <row r="185" spans="1:52" ht="20.100000000000001" customHeight="1">
      <c r="A185" s="68"/>
      <c r="B185" s="69"/>
      <c r="C185" s="240" t="s">
        <v>356</v>
      </c>
      <c r="D185" s="240"/>
      <c r="E185" s="241"/>
      <c r="F185" s="70"/>
      <c r="G185" s="71"/>
      <c r="H185" s="71"/>
      <c r="I185" s="240" t="s">
        <v>328</v>
      </c>
      <c r="J185" s="240"/>
      <c r="K185" s="241"/>
      <c r="L185" s="49"/>
      <c r="M185" s="49">
        <v>0</v>
      </c>
      <c r="N185" s="49"/>
      <c r="O185" s="49"/>
      <c r="P185" s="49"/>
      <c r="Q185" s="49"/>
      <c r="R185" s="72"/>
      <c r="S185" s="49"/>
      <c r="T185" s="49"/>
      <c r="U185" s="49"/>
      <c r="V185" s="49"/>
      <c r="W185" s="49"/>
      <c r="X185" s="49"/>
      <c r="Y185" s="49"/>
      <c r="Z185" s="49"/>
      <c r="AA185" s="49"/>
      <c r="AB185" s="49"/>
      <c r="AC185" s="49">
        <f t="shared" si="72"/>
        <v>0</v>
      </c>
      <c r="AD185" s="49"/>
      <c r="AE185" s="49"/>
      <c r="AF185" s="49"/>
      <c r="AG185" s="49"/>
      <c r="AH185" s="49"/>
      <c r="AI185" s="49"/>
      <c r="AJ185" s="49"/>
      <c r="AK185" s="49"/>
      <c r="AL185" s="49"/>
      <c r="AM185" s="49"/>
      <c r="AN185" s="49"/>
      <c r="AO185" s="49"/>
      <c r="AP185" s="42"/>
      <c r="AQ185" s="49"/>
      <c r="AR185" s="49"/>
      <c r="AS185" s="49"/>
      <c r="AT185" s="49"/>
      <c r="AU185" s="49"/>
      <c r="AV185" s="49"/>
      <c r="AW185" s="49"/>
      <c r="AX185" s="49"/>
      <c r="AY185" s="49"/>
      <c r="AZ185" s="73">
        <f t="shared" si="70"/>
        <v>0</v>
      </c>
    </row>
    <row r="186" spans="1:52" ht="20.100000000000001" customHeight="1">
      <c r="A186" s="68"/>
      <c r="B186" s="69"/>
      <c r="C186" s="240" t="s">
        <v>357</v>
      </c>
      <c r="D186" s="240"/>
      <c r="E186" s="241"/>
      <c r="F186" s="70"/>
      <c r="G186" s="71"/>
      <c r="H186" s="71"/>
      <c r="I186" s="71"/>
      <c r="J186" s="240" t="s">
        <v>330</v>
      </c>
      <c r="K186" s="241"/>
      <c r="L186" s="49">
        <v>9300000</v>
      </c>
      <c r="M186" s="49">
        <v>0</v>
      </c>
      <c r="N186" s="49"/>
      <c r="O186" s="49"/>
      <c r="P186" s="49"/>
      <c r="Q186" s="49">
        <f>SUM(N186:P186)</f>
        <v>0</v>
      </c>
      <c r="R186" s="72"/>
      <c r="S186" s="49">
        <f>M186-Q186</f>
        <v>0</v>
      </c>
      <c r="T186" s="49">
        <v>0</v>
      </c>
      <c r="U186" s="49">
        <f>T186+M186</f>
        <v>0</v>
      </c>
      <c r="V186" s="49">
        <f>T186+S186</f>
        <v>0</v>
      </c>
      <c r="W186" s="49"/>
      <c r="X186" s="49"/>
      <c r="Y186" s="49"/>
      <c r="Z186" s="49"/>
      <c r="AA186" s="49">
        <v>0</v>
      </c>
      <c r="AB186" s="49">
        <v>9300000</v>
      </c>
      <c r="AC186" s="49">
        <f t="shared" si="72"/>
        <v>0</v>
      </c>
      <c r="AD186" s="49">
        <f>AA186+T186+M186</f>
        <v>0</v>
      </c>
      <c r="AE186" s="49"/>
      <c r="AF186" s="49"/>
      <c r="AG186" s="49"/>
      <c r="AH186" s="49"/>
      <c r="AI186" s="49"/>
      <c r="AJ186" s="49"/>
      <c r="AK186" s="49">
        <f>Z186+Y186+X186+W186+N186+AG186+AJ186+AI186+AH186</f>
        <v>0</v>
      </c>
      <c r="AL186" s="49" t="e">
        <f>AK186/AD186*100</f>
        <v>#DIV/0!</v>
      </c>
      <c r="AM186" s="49"/>
      <c r="AN186" s="49">
        <v>0</v>
      </c>
      <c r="AO186" s="49"/>
      <c r="AP186" s="42">
        <v>9300000</v>
      </c>
      <c r="AQ186" s="49">
        <f>AK186+AM186+AN186+AO186+AP186</f>
        <v>9300000</v>
      </c>
      <c r="AR186" s="49">
        <f>AQ186/AB186*100</f>
        <v>100</v>
      </c>
      <c r="AS186" s="49">
        <f>AB186-AQ186</f>
        <v>0</v>
      </c>
      <c r="AT186" s="49">
        <v>3091500</v>
      </c>
      <c r="AU186" s="49">
        <f>AT186+U186</f>
        <v>3091500</v>
      </c>
      <c r="AV186" s="49">
        <f>AK186</f>
        <v>0</v>
      </c>
      <c r="AW186" s="72">
        <f>AV186/AU186*100</f>
        <v>0</v>
      </c>
      <c r="AX186" s="49">
        <f>AU186-AV186</f>
        <v>3091500</v>
      </c>
      <c r="AY186" s="49">
        <f>AS186/AB186*100</f>
        <v>0</v>
      </c>
      <c r="AZ186" s="73">
        <f t="shared" si="70"/>
        <v>9300000</v>
      </c>
    </row>
    <row r="187" spans="1:52" ht="20.100000000000001" customHeight="1">
      <c r="A187" s="68"/>
      <c r="B187" s="69"/>
      <c r="C187" s="240" t="s">
        <v>358</v>
      </c>
      <c r="D187" s="240"/>
      <c r="E187" s="241"/>
      <c r="F187" s="70"/>
      <c r="G187" s="71"/>
      <c r="H187" s="71"/>
      <c r="I187" s="240" t="s">
        <v>193</v>
      </c>
      <c r="J187" s="240"/>
      <c r="K187" s="241"/>
      <c r="L187" s="49"/>
      <c r="M187" s="49"/>
      <c r="N187" s="49"/>
      <c r="O187" s="49"/>
      <c r="P187" s="49"/>
      <c r="Q187" s="49"/>
      <c r="R187" s="72"/>
      <c r="S187" s="49"/>
      <c r="T187" s="49"/>
      <c r="U187" s="49"/>
      <c r="V187" s="49"/>
      <c r="W187" s="49"/>
      <c r="X187" s="49"/>
      <c r="Y187" s="49"/>
      <c r="Z187" s="49"/>
      <c r="AA187" s="49"/>
      <c r="AB187" s="49"/>
      <c r="AC187" s="49">
        <f t="shared" si="72"/>
        <v>0</v>
      </c>
      <c r="AD187" s="49"/>
      <c r="AE187" s="49"/>
      <c r="AF187" s="49"/>
      <c r="AG187" s="49"/>
      <c r="AH187" s="49"/>
      <c r="AI187" s="49"/>
      <c r="AJ187" s="49"/>
      <c r="AK187" s="49"/>
      <c r="AL187" s="49"/>
      <c r="AM187" s="49"/>
      <c r="AN187" s="49"/>
      <c r="AO187" s="49"/>
      <c r="AP187" s="42"/>
      <c r="AQ187" s="49"/>
      <c r="AR187" s="49"/>
      <c r="AS187" s="49"/>
      <c r="AT187" s="49"/>
      <c r="AU187" s="49"/>
      <c r="AV187" s="49"/>
      <c r="AW187" s="49"/>
      <c r="AX187" s="49"/>
      <c r="AY187" s="49"/>
      <c r="AZ187" s="73">
        <f t="shared" si="70"/>
        <v>0</v>
      </c>
    </row>
    <row r="188" spans="1:52" ht="20.100000000000001" customHeight="1">
      <c r="A188" s="68"/>
      <c r="B188" s="69"/>
      <c r="C188" s="240" t="s">
        <v>359</v>
      </c>
      <c r="D188" s="240"/>
      <c r="E188" s="241"/>
      <c r="F188" s="70"/>
      <c r="G188" s="71"/>
      <c r="H188" s="71"/>
      <c r="I188" s="71"/>
      <c r="J188" s="240" t="s">
        <v>195</v>
      </c>
      <c r="K188" s="241"/>
      <c r="L188" s="49">
        <v>2767500</v>
      </c>
      <c r="M188" s="49">
        <v>0</v>
      </c>
      <c r="N188" s="49"/>
      <c r="O188" s="49"/>
      <c r="P188" s="49"/>
      <c r="Q188" s="49">
        <f>SUM(N188:P188)</f>
        <v>0</v>
      </c>
      <c r="R188" s="72"/>
      <c r="S188" s="49">
        <f>M188-Q188</f>
        <v>0</v>
      </c>
      <c r="T188" s="49">
        <v>675000</v>
      </c>
      <c r="U188" s="49">
        <f>T188+M188</f>
        <v>675000</v>
      </c>
      <c r="V188" s="49">
        <f>T188+S188</f>
        <v>675000</v>
      </c>
      <c r="W188" s="49">
        <v>675000</v>
      </c>
      <c r="X188" s="49"/>
      <c r="Y188" s="49"/>
      <c r="Z188" s="49"/>
      <c r="AA188" s="49">
        <v>675000</v>
      </c>
      <c r="AB188" s="49">
        <v>2767500</v>
      </c>
      <c r="AC188" s="49">
        <f t="shared" si="72"/>
        <v>0</v>
      </c>
      <c r="AD188" s="49">
        <f>AA188+T188+M188</f>
        <v>1350000</v>
      </c>
      <c r="AE188" s="49"/>
      <c r="AF188" s="49"/>
      <c r="AG188" s="49">
        <v>0</v>
      </c>
      <c r="AH188" s="49"/>
      <c r="AI188" s="49"/>
      <c r="AJ188" s="49">
        <v>0</v>
      </c>
      <c r="AK188" s="49">
        <f>Z188+Y188+X188+W188+N188+AG188+AJ188+AI188+AH188</f>
        <v>675000</v>
      </c>
      <c r="AL188" s="49">
        <f>AK188/AD188*100</f>
        <v>50</v>
      </c>
      <c r="AM188" s="49"/>
      <c r="AN188" s="49">
        <v>900000</v>
      </c>
      <c r="AO188" s="49"/>
      <c r="AP188" s="42">
        <v>1192500</v>
      </c>
      <c r="AQ188" s="49">
        <f>AK188+AM188+AN188+AO188+AP188</f>
        <v>2767500</v>
      </c>
      <c r="AR188" s="49">
        <f>AQ188/AB188*100</f>
        <v>100</v>
      </c>
      <c r="AS188" s="49">
        <f>AB188-AQ188</f>
        <v>0</v>
      </c>
      <c r="AT188" s="49">
        <v>3091500</v>
      </c>
      <c r="AU188" s="49">
        <f>AT188+U188</f>
        <v>3766500</v>
      </c>
      <c r="AV188" s="49">
        <f>AK188</f>
        <v>675000</v>
      </c>
      <c r="AW188" s="72">
        <f>AV188/AU188*100</f>
        <v>17.921146953405017</v>
      </c>
      <c r="AX188" s="49">
        <f>AU188-AV188</f>
        <v>3091500</v>
      </c>
      <c r="AY188" s="49">
        <f>AS188/AB188*100</f>
        <v>0</v>
      </c>
      <c r="AZ188" s="73">
        <f t="shared" si="70"/>
        <v>2767500</v>
      </c>
    </row>
    <row r="189" spans="1:52" ht="20.100000000000001" customHeight="1">
      <c r="A189" s="68"/>
      <c r="B189" s="69"/>
      <c r="C189" s="240" t="s">
        <v>360</v>
      </c>
      <c r="D189" s="240"/>
      <c r="E189" s="241"/>
      <c r="F189" s="70"/>
      <c r="G189" s="71"/>
      <c r="H189" s="71"/>
      <c r="I189" s="240" t="s">
        <v>157</v>
      </c>
      <c r="J189" s="240"/>
      <c r="K189" s="241"/>
      <c r="L189" s="49"/>
      <c r="M189" s="49"/>
      <c r="N189" s="49"/>
      <c r="O189" s="49"/>
      <c r="P189" s="49"/>
      <c r="Q189" s="49"/>
      <c r="R189" s="72"/>
      <c r="S189" s="49"/>
      <c r="T189" s="49"/>
      <c r="U189" s="49"/>
      <c r="V189" s="49"/>
      <c r="W189" s="49"/>
      <c r="X189" s="49"/>
      <c r="Y189" s="49"/>
      <c r="Z189" s="49"/>
      <c r="AA189" s="49"/>
      <c r="AB189" s="49"/>
      <c r="AC189" s="49">
        <f t="shared" si="72"/>
        <v>0</v>
      </c>
      <c r="AD189" s="49"/>
      <c r="AE189" s="49"/>
      <c r="AF189" s="49"/>
      <c r="AG189" s="49"/>
      <c r="AH189" s="49"/>
      <c r="AI189" s="49"/>
      <c r="AJ189" s="49"/>
      <c r="AK189" s="49"/>
      <c r="AL189" s="49"/>
      <c r="AM189" s="49"/>
      <c r="AN189" s="49"/>
      <c r="AO189" s="49"/>
      <c r="AP189" s="42"/>
      <c r="AQ189" s="49"/>
      <c r="AR189" s="49"/>
      <c r="AS189" s="49"/>
      <c r="AT189" s="49"/>
      <c r="AU189" s="49"/>
      <c r="AV189" s="49"/>
      <c r="AW189" s="49"/>
      <c r="AX189" s="49"/>
      <c r="AY189" s="49"/>
      <c r="AZ189" s="73">
        <f t="shared" si="70"/>
        <v>0</v>
      </c>
    </row>
    <row r="190" spans="1:52" ht="20.100000000000001" customHeight="1">
      <c r="A190" s="68"/>
      <c r="B190" s="69"/>
      <c r="C190" s="240" t="s">
        <v>361</v>
      </c>
      <c r="D190" s="240"/>
      <c r="E190" s="241"/>
      <c r="F190" s="70"/>
      <c r="G190" s="71"/>
      <c r="H190" s="71"/>
      <c r="I190" s="71"/>
      <c r="J190" s="240" t="s">
        <v>159</v>
      </c>
      <c r="K190" s="241"/>
      <c r="L190" s="49">
        <v>3220000</v>
      </c>
      <c r="M190" s="49">
        <v>644000</v>
      </c>
      <c r="N190" s="49">
        <v>640000</v>
      </c>
      <c r="O190" s="49"/>
      <c r="P190" s="49"/>
      <c r="Q190" s="49">
        <f>SUM(N190:P190)</f>
        <v>640000</v>
      </c>
      <c r="R190" s="72">
        <f>Q190/M190*100</f>
        <v>99.378881987577643</v>
      </c>
      <c r="S190" s="49">
        <f>M190-Q190</f>
        <v>4000</v>
      </c>
      <c r="T190" s="49">
        <v>644000</v>
      </c>
      <c r="U190" s="49">
        <f>T190+M190</f>
        <v>1288000</v>
      </c>
      <c r="V190" s="49">
        <f>T190+S190</f>
        <v>648000</v>
      </c>
      <c r="W190" s="49"/>
      <c r="X190" s="49"/>
      <c r="Y190" s="49"/>
      <c r="Z190" s="49"/>
      <c r="AA190" s="49">
        <v>1288000</v>
      </c>
      <c r="AB190" s="49">
        <v>3220000</v>
      </c>
      <c r="AC190" s="49">
        <f t="shared" si="72"/>
        <v>0</v>
      </c>
      <c r="AD190" s="49">
        <f>AA190+T190+M190</f>
        <v>2576000</v>
      </c>
      <c r="AE190" s="49"/>
      <c r="AF190" s="49"/>
      <c r="AG190" s="49">
        <f>640000+540000</f>
        <v>1180000</v>
      </c>
      <c r="AH190" s="49"/>
      <c r="AI190" s="49"/>
      <c r="AJ190" s="49">
        <v>0</v>
      </c>
      <c r="AK190" s="49">
        <f>Z190+Y190+X190+W190+N190+AG190+AJ190+AI190+AH190</f>
        <v>1820000</v>
      </c>
      <c r="AL190" s="49">
        <f>AK190/AD190*100</f>
        <v>70.652173913043484</v>
      </c>
      <c r="AM190" s="49"/>
      <c r="AN190" s="49">
        <v>700000</v>
      </c>
      <c r="AO190" s="49"/>
      <c r="AP190" s="42">
        <v>700000</v>
      </c>
      <c r="AQ190" s="49">
        <f>AK190+AM190+AN190+AO190+AP190</f>
        <v>3220000</v>
      </c>
      <c r="AR190" s="49">
        <f>AQ190/AB190*100</f>
        <v>100</v>
      </c>
      <c r="AS190" s="49">
        <f>AB190-AQ190</f>
        <v>0</v>
      </c>
      <c r="AT190" s="49">
        <v>3091500</v>
      </c>
      <c r="AU190" s="49">
        <f>AT190+U190</f>
        <v>4379500</v>
      </c>
      <c r="AV190" s="49">
        <f>AK190</f>
        <v>1820000</v>
      </c>
      <c r="AW190" s="72">
        <f>AV190/AU190*100</f>
        <v>41.557255394451417</v>
      </c>
      <c r="AX190" s="49">
        <f>AU190-AV190</f>
        <v>2559500</v>
      </c>
      <c r="AY190" s="49">
        <f>AS190/AB190*100</f>
        <v>0</v>
      </c>
      <c r="AZ190" s="73">
        <f t="shared" si="70"/>
        <v>3220000</v>
      </c>
    </row>
    <row r="191" spans="1:52" ht="20.100000000000001" customHeight="1">
      <c r="A191" s="68"/>
      <c r="B191" s="69"/>
      <c r="C191" s="240" t="s">
        <v>362</v>
      </c>
      <c r="D191" s="240"/>
      <c r="E191" s="241"/>
      <c r="F191" s="70"/>
      <c r="G191" s="71"/>
      <c r="H191" s="71"/>
      <c r="I191" s="71"/>
      <c r="J191" s="240" t="s">
        <v>207</v>
      </c>
      <c r="K191" s="241"/>
      <c r="L191" s="49">
        <v>41455000</v>
      </c>
      <c r="M191" s="49">
        <v>0</v>
      </c>
      <c r="N191" s="49"/>
      <c r="O191" s="49"/>
      <c r="P191" s="49"/>
      <c r="Q191" s="49">
        <f>SUM(N191:P191)</f>
        <v>0</v>
      </c>
      <c r="R191" s="72"/>
      <c r="S191" s="49">
        <f>M191-Q191</f>
        <v>0</v>
      </c>
      <c r="T191" s="49">
        <v>1140000</v>
      </c>
      <c r="U191" s="49">
        <f>T191+M191</f>
        <v>1140000</v>
      </c>
      <c r="V191" s="49">
        <f>T191+S191</f>
        <v>1140000</v>
      </c>
      <c r="W191" s="49">
        <v>1000000</v>
      </c>
      <c r="X191" s="49"/>
      <c r="Y191" s="49"/>
      <c r="Z191" s="49"/>
      <c r="AA191" s="49">
        <v>4940000</v>
      </c>
      <c r="AB191" s="49">
        <v>41455000</v>
      </c>
      <c r="AC191" s="49">
        <f t="shared" si="72"/>
        <v>0</v>
      </c>
      <c r="AD191" s="49">
        <f>AA191+T191+M191</f>
        <v>6080000</v>
      </c>
      <c r="AE191" s="49"/>
      <c r="AF191" s="49"/>
      <c r="AG191" s="49">
        <f>1900000+1150000</f>
        <v>3050000</v>
      </c>
      <c r="AH191" s="49"/>
      <c r="AI191" s="49"/>
      <c r="AJ191" s="49">
        <v>0</v>
      </c>
      <c r="AK191" s="49">
        <f>Z191+Y191+X191+W191+N191+AG191+AJ191+AI191+AH191</f>
        <v>4050000</v>
      </c>
      <c r="AL191" s="49">
        <f>AK191/AD191*100</f>
        <v>66.61184210526315</v>
      </c>
      <c r="AM191" s="49"/>
      <c r="AN191" s="49">
        <v>3306000</v>
      </c>
      <c r="AO191" s="49"/>
      <c r="AP191" s="42">
        <v>34099000</v>
      </c>
      <c r="AQ191" s="49">
        <f>AK191+AM191+AN191+AO191+AP191</f>
        <v>41455000</v>
      </c>
      <c r="AR191" s="49">
        <f>AQ191/AB191*100</f>
        <v>100</v>
      </c>
      <c r="AS191" s="49">
        <f>AB191-AQ191</f>
        <v>0</v>
      </c>
      <c r="AT191" s="49">
        <v>3091500</v>
      </c>
      <c r="AU191" s="49">
        <f>AT191+U191</f>
        <v>4231500</v>
      </c>
      <c r="AV191" s="49">
        <f>AK191</f>
        <v>4050000</v>
      </c>
      <c r="AW191" s="72">
        <f>AV191/AU191*100</f>
        <v>95.710740872031195</v>
      </c>
      <c r="AX191" s="49">
        <f>AU191-AV191</f>
        <v>181500</v>
      </c>
      <c r="AY191" s="49">
        <f>AS191/AB191*100</f>
        <v>0</v>
      </c>
      <c r="AZ191" s="73">
        <f t="shared" si="70"/>
        <v>41455000</v>
      </c>
    </row>
    <row r="192" spans="1:52" ht="20.100000000000001" customHeight="1">
      <c r="A192" s="60" t="s">
        <v>363</v>
      </c>
      <c r="B192" s="75"/>
      <c r="C192" s="247" t="s">
        <v>317</v>
      </c>
      <c r="D192" s="247"/>
      <c r="E192" s="248"/>
      <c r="F192" s="249" t="s">
        <v>364</v>
      </c>
      <c r="G192" s="250"/>
      <c r="H192" s="250"/>
      <c r="I192" s="250"/>
      <c r="J192" s="250"/>
      <c r="K192" s="251"/>
      <c r="L192" s="48">
        <f>L193+L200+L221+L225+L248</f>
        <v>1265000000</v>
      </c>
      <c r="M192" s="48">
        <f>M193+M200+M221+M225+M248</f>
        <v>0</v>
      </c>
      <c r="N192" s="48">
        <f>N193+N200+N221+N225+N248</f>
        <v>0</v>
      </c>
      <c r="O192" s="48">
        <f>O193+O200+O221+O225+O248</f>
        <v>0</v>
      </c>
      <c r="P192" s="48">
        <f>P193+P200+P221+P225+P248</f>
        <v>0</v>
      </c>
      <c r="Q192" s="48">
        <f>SUM(N192:P192)</f>
        <v>0</v>
      </c>
      <c r="R192" s="61"/>
      <c r="S192" s="48">
        <f>M192-Q192</f>
        <v>0</v>
      </c>
      <c r="T192" s="48">
        <f>T193+T200+T221+T225+T248</f>
        <v>297000000</v>
      </c>
      <c r="U192" s="48">
        <f>T192+M192</f>
        <v>297000000</v>
      </c>
      <c r="V192" s="48">
        <f>T192+S192</f>
        <v>297000000</v>
      </c>
      <c r="W192" s="48">
        <f>W193+W200+W221+W225+W248</f>
        <v>0</v>
      </c>
      <c r="X192" s="48">
        <f>X193+X200+X221+X225+X248</f>
        <v>0</v>
      </c>
      <c r="Y192" s="48">
        <f>Y193+Y200+Y221+Y225+Y248</f>
        <v>0</v>
      </c>
      <c r="Z192" s="48"/>
      <c r="AA192" s="48">
        <f>AA193+AA200+AA221+AA225+AA248</f>
        <v>477860000</v>
      </c>
      <c r="AB192" s="48">
        <f>AB193+AB200+AB221+AB225+AB248</f>
        <v>1265000000</v>
      </c>
      <c r="AC192" s="48">
        <f t="shared" si="72"/>
        <v>0</v>
      </c>
      <c r="AD192" s="48">
        <f>AA192+T192+M192</f>
        <v>774860000</v>
      </c>
      <c r="AE192" s="48">
        <f t="shared" ref="AE192:AK192" si="73">AE193+AE200+AE221+AE225+AE248</f>
        <v>47878000</v>
      </c>
      <c r="AF192" s="48">
        <f t="shared" si="73"/>
        <v>218423400</v>
      </c>
      <c r="AG192" s="48">
        <f t="shared" si="73"/>
        <v>0</v>
      </c>
      <c r="AH192" s="48">
        <f t="shared" si="73"/>
        <v>388838175</v>
      </c>
      <c r="AI192" s="48">
        <f t="shared" si="73"/>
        <v>0</v>
      </c>
      <c r="AJ192" s="48">
        <f t="shared" si="73"/>
        <v>0</v>
      </c>
      <c r="AK192" s="48">
        <f t="shared" si="73"/>
        <v>655139575</v>
      </c>
      <c r="AL192" s="48">
        <f>AK192/AB192*100</f>
        <v>51.789689723320151</v>
      </c>
      <c r="AM192" s="48">
        <f>AM193+AM200+AM221+AM225+AM248</f>
        <v>478000000</v>
      </c>
      <c r="AN192" s="48">
        <f>AN193+AN200+AN221+AN225+AN248</f>
        <v>0</v>
      </c>
      <c r="AO192" s="48">
        <f>AO193+AO200+AO221+AO225+AO248</f>
        <v>18018350</v>
      </c>
      <c r="AP192" s="48">
        <f>AP193+AP200+AP221+AP225+AP248</f>
        <v>0</v>
      </c>
      <c r="AQ192" s="48">
        <f>AK192+AM192+AN192+AO192+AP192</f>
        <v>1151157925</v>
      </c>
      <c r="AR192" s="48">
        <f>AQ192/AB192*100</f>
        <v>91.000626482213448</v>
      </c>
      <c r="AS192" s="48">
        <f>AB192-AQ192</f>
        <v>113842075</v>
      </c>
      <c r="AT192" s="48">
        <v>120767500</v>
      </c>
      <c r="AU192" s="48">
        <f>AT192+U192</f>
        <v>417767500</v>
      </c>
      <c r="AV192" s="48">
        <f>AK192</f>
        <v>655139575</v>
      </c>
      <c r="AW192" s="61">
        <f>AV192/AU192*100</f>
        <v>156.81918172189074</v>
      </c>
      <c r="AX192" s="48">
        <f>AU192-AV192</f>
        <v>-237372075</v>
      </c>
      <c r="AY192" s="48">
        <f>AS192/AB192*100</f>
        <v>8.9993735177865624</v>
      </c>
      <c r="AZ192" s="73">
        <f t="shared" si="70"/>
        <v>1133139575</v>
      </c>
    </row>
    <row r="193" spans="1:53" ht="20.100000000000001" customHeight="1">
      <c r="A193" s="62">
        <v>15</v>
      </c>
      <c r="B193" s="63"/>
      <c r="C193" s="242" t="s">
        <v>365</v>
      </c>
      <c r="D193" s="242"/>
      <c r="E193" s="243"/>
      <c r="F193" s="64"/>
      <c r="G193" s="244" t="s">
        <v>366</v>
      </c>
      <c r="H193" s="244"/>
      <c r="I193" s="244"/>
      <c r="J193" s="244"/>
      <c r="K193" s="245"/>
      <c r="L193" s="65">
        <f>SUM(L196:L199)</f>
        <v>50000000</v>
      </c>
      <c r="M193" s="65">
        <f>SUM(M196:M199)</f>
        <v>0</v>
      </c>
      <c r="N193" s="65">
        <f>SUM(N196:N199)</f>
        <v>0</v>
      </c>
      <c r="O193" s="65">
        <f>SUM(O196:O199)</f>
        <v>0</v>
      </c>
      <c r="P193" s="65">
        <f>SUM(P196:P199)</f>
        <v>0</v>
      </c>
      <c r="Q193" s="65">
        <f>SUM(N193:P193)</f>
        <v>0</v>
      </c>
      <c r="R193" s="66"/>
      <c r="S193" s="65">
        <f>M193-Q193</f>
        <v>0</v>
      </c>
      <c r="T193" s="65">
        <f>SUM(T196:T199)</f>
        <v>50000000</v>
      </c>
      <c r="U193" s="65">
        <f>T193+M193</f>
        <v>50000000</v>
      </c>
      <c r="V193" s="65">
        <f>T193+S193</f>
        <v>50000000</v>
      </c>
      <c r="W193" s="65">
        <f>SUM(W196:W199)</f>
        <v>0</v>
      </c>
      <c r="X193" s="65">
        <f>SUM(X196:X199)</f>
        <v>0</v>
      </c>
      <c r="Y193" s="65">
        <f>SUM(Y196:Y199)</f>
        <v>0</v>
      </c>
      <c r="Z193" s="65"/>
      <c r="AA193" s="65">
        <f>SUM(AA196:AA199)</f>
        <v>0</v>
      </c>
      <c r="AB193" s="65">
        <f>SUM(AB196:AB199)</f>
        <v>50000000</v>
      </c>
      <c r="AC193" s="65">
        <f t="shared" si="72"/>
        <v>0</v>
      </c>
      <c r="AD193" s="65">
        <f>AA193+T193+M193</f>
        <v>50000000</v>
      </c>
      <c r="AE193" s="65">
        <f t="shared" ref="AE193:AK193" si="74">SUM(AE196:AE199)</f>
        <v>47878000</v>
      </c>
      <c r="AF193" s="65">
        <f t="shared" si="74"/>
        <v>0</v>
      </c>
      <c r="AG193" s="65">
        <f t="shared" si="74"/>
        <v>0</v>
      </c>
      <c r="AH193" s="65">
        <f t="shared" si="74"/>
        <v>0</v>
      </c>
      <c r="AI193" s="65">
        <f t="shared" si="74"/>
        <v>0</v>
      </c>
      <c r="AJ193" s="65">
        <f t="shared" si="74"/>
        <v>0</v>
      </c>
      <c r="AK193" s="65">
        <f t="shared" si="74"/>
        <v>47878000</v>
      </c>
      <c r="AL193" s="65">
        <f>AK193/AB193*100</f>
        <v>95.756</v>
      </c>
      <c r="AM193" s="65">
        <f>SUM(AM196:AM199)</f>
        <v>0</v>
      </c>
      <c r="AN193" s="65">
        <f>SUM(AN196:AN199)</f>
        <v>0</v>
      </c>
      <c r="AO193" s="42">
        <f>SUM(AO196:AO199)</f>
        <v>1443100</v>
      </c>
      <c r="AP193" s="65">
        <f>SUM(AP196:AP199)</f>
        <v>0</v>
      </c>
      <c r="AQ193" s="65">
        <f>AK193+AM193+AN193+AO193+AP193</f>
        <v>49321100</v>
      </c>
      <c r="AR193" s="65">
        <f>AQ193/AB193*100</f>
        <v>98.642200000000003</v>
      </c>
      <c r="AS193" s="65">
        <f>AB193-AQ193</f>
        <v>678900</v>
      </c>
      <c r="AT193" s="65">
        <f>SUM(AT196:AT202)</f>
        <v>18549000</v>
      </c>
      <c r="AU193" s="65">
        <f>AT193+U193</f>
        <v>68549000</v>
      </c>
      <c r="AV193" s="65">
        <f>AK193</f>
        <v>47878000</v>
      </c>
      <c r="AW193" s="66">
        <f>AV193/AU193*100</f>
        <v>69.844928445345673</v>
      </c>
      <c r="AX193" s="65">
        <f>AU193-AV193</f>
        <v>20671000</v>
      </c>
      <c r="AY193" s="65">
        <f>AS193/AB193*100</f>
        <v>1.3577999999999999</v>
      </c>
      <c r="AZ193" s="67">
        <f t="shared" si="70"/>
        <v>47878000</v>
      </c>
      <c r="BA193" s="29">
        <f>AS193</f>
        <v>678900</v>
      </c>
    </row>
    <row r="194" spans="1:53" ht="20.100000000000001" customHeight="1">
      <c r="A194" s="68"/>
      <c r="B194" s="69"/>
      <c r="C194" s="240" t="s">
        <v>367</v>
      </c>
      <c r="D194" s="240"/>
      <c r="E194" s="241"/>
      <c r="F194" s="70"/>
      <c r="G194" s="71"/>
      <c r="H194" s="240" t="s">
        <v>270</v>
      </c>
      <c r="I194" s="240"/>
      <c r="J194" s="240"/>
      <c r="K194" s="241"/>
      <c r="L194" s="49"/>
      <c r="M194" s="49"/>
      <c r="N194" s="49"/>
      <c r="O194" s="49"/>
      <c r="P194" s="49"/>
      <c r="Q194" s="49"/>
      <c r="R194" s="72"/>
      <c r="S194" s="49"/>
      <c r="T194" s="49"/>
      <c r="U194" s="49"/>
      <c r="V194" s="49"/>
      <c r="W194" s="49"/>
      <c r="X194" s="49"/>
      <c r="Y194" s="49"/>
      <c r="Z194" s="49"/>
      <c r="AA194" s="49"/>
      <c r="AB194" s="49"/>
      <c r="AC194" s="49">
        <f t="shared" si="72"/>
        <v>0</v>
      </c>
      <c r="AD194" s="49"/>
      <c r="AE194" s="49"/>
      <c r="AF194" s="49"/>
      <c r="AG194" s="49"/>
      <c r="AH194" s="49"/>
      <c r="AI194" s="49"/>
      <c r="AJ194" s="49"/>
      <c r="AK194" s="49"/>
      <c r="AL194" s="49"/>
      <c r="AM194" s="49"/>
      <c r="AN194" s="49"/>
      <c r="AO194" s="49"/>
      <c r="AP194" s="49"/>
      <c r="AQ194" s="49"/>
      <c r="AR194" s="49"/>
      <c r="AS194" s="49"/>
      <c r="AT194" s="49"/>
      <c r="AU194" s="49"/>
      <c r="AV194" s="49"/>
      <c r="AW194" s="49"/>
      <c r="AX194" s="49"/>
      <c r="AY194" s="49"/>
      <c r="AZ194" s="73">
        <f t="shared" si="70"/>
        <v>0</v>
      </c>
    </row>
    <row r="195" spans="1:53" ht="20.100000000000001" customHeight="1">
      <c r="A195" s="68"/>
      <c r="B195" s="69"/>
      <c r="C195" s="240" t="s">
        <v>368</v>
      </c>
      <c r="D195" s="240"/>
      <c r="E195" s="241"/>
      <c r="F195" s="70"/>
      <c r="G195" s="71"/>
      <c r="H195" s="71"/>
      <c r="I195" s="240" t="s">
        <v>369</v>
      </c>
      <c r="J195" s="240"/>
      <c r="K195" s="241"/>
      <c r="L195" s="49"/>
      <c r="M195" s="49"/>
      <c r="N195" s="49"/>
      <c r="O195" s="49"/>
      <c r="P195" s="49"/>
      <c r="Q195" s="49"/>
      <c r="R195" s="72"/>
      <c r="S195" s="49"/>
      <c r="T195" s="49"/>
      <c r="U195" s="49"/>
      <c r="V195" s="49"/>
      <c r="W195" s="49"/>
      <c r="X195" s="49"/>
      <c r="Y195" s="49"/>
      <c r="Z195" s="49"/>
      <c r="AA195" s="49"/>
      <c r="AB195" s="49"/>
      <c r="AC195" s="49">
        <f t="shared" si="72"/>
        <v>0</v>
      </c>
      <c r="AD195" s="49"/>
      <c r="AE195" s="49"/>
      <c r="AF195" s="49"/>
      <c r="AG195" s="49"/>
      <c r="AH195" s="49"/>
      <c r="AI195" s="49"/>
      <c r="AJ195" s="49"/>
      <c r="AK195" s="49"/>
      <c r="AL195" s="49"/>
      <c r="AM195" s="49"/>
      <c r="AN195" s="49"/>
      <c r="AO195" s="49"/>
      <c r="AP195" s="49"/>
      <c r="AQ195" s="49"/>
      <c r="AR195" s="49"/>
      <c r="AS195" s="49"/>
      <c r="AT195" s="49"/>
      <c r="AU195" s="49"/>
      <c r="AV195" s="49"/>
      <c r="AW195" s="49"/>
      <c r="AX195" s="49"/>
      <c r="AY195" s="49"/>
      <c r="AZ195" s="73">
        <f t="shared" si="70"/>
        <v>0</v>
      </c>
    </row>
    <row r="196" spans="1:53" ht="20.100000000000001" customHeight="1">
      <c r="A196" s="68"/>
      <c r="B196" s="69"/>
      <c r="C196" s="240" t="s">
        <v>370</v>
      </c>
      <c r="D196" s="240"/>
      <c r="E196" s="241"/>
      <c r="F196" s="70"/>
      <c r="G196" s="71"/>
      <c r="H196" s="71"/>
      <c r="I196" s="71"/>
      <c r="J196" s="240" t="s">
        <v>371</v>
      </c>
      <c r="K196" s="241"/>
      <c r="L196" s="49">
        <v>48556900</v>
      </c>
      <c r="M196" s="49">
        <v>0</v>
      </c>
      <c r="N196" s="49"/>
      <c r="O196" s="49"/>
      <c r="P196" s="49"/>
      <c r="Q196" s="49">
        <f>SUM(N196:P196)</f>
        <v>0</v>
      </c>
      <c r="R196" s="72"/>
      <c r="S196" s="49">
        <f>M196-Q196</f>
        <v>0</v>
      </c>
      <c r="T196" s="49">
        <v>48556900</v>
      </c>
      <c r="U196" s="49">
        <f>T196+M196</f>
        <v>48556900</v>
      </c>
      <c r="V196" s="49">
        <f>T196+S196</f>
        <v>48556900</v>
      </c>
      <c r="W196" s="49"/>
      <c r="X196" s="49"/>
      <c r="Y196" s="49"/>
      <c r="Z196" s="49"/>
      <c r="AA196" s="49">
        <v>0</v>
      </c>
      <c r="AB196" s="49">
        <v>48556900</v>
      </c>
      <c r="AC196" s="49">
        <f t="shared" si="72"/>
        <v>0</v>
      </c>
      <c r="AD196" s="49">
        <f>AA196+T196+M196</f>
        <v>48556900</v>
      </c>
      <c r="AE196" s="49">
        <v>47878000</v>
      </c>
      <c r="AF196" s="49">
        <v>0</v>
      </c>
      <c r="AG196" s="49"/>
      <c r="AH196" s="49"/>
      <c r="AI196" s="49"/>
      <c r="AJ196" s="49"/>
      <c r="AK196" s="49">
        <f>Z196+Y196+X196+W196+N196+AG196+AE196+AH196+AI196+AJ196</f>
        <v>47878000</v>
      </c>
      <c r="AL196" s="49">
        <f>AK196/AD196*100</f>
        <v>98.601846493495259</v>
      </c>
      <c r="AM196" s="49"/>
      <c r="AN196" s="49"/>
      <c r="AO196" s="49"/>
      <c r="AP196" s="49"/>
      <c r="AQ196" s="49">
        <f>AK196+AM196+AN196+AO196+AP196</f>
        <v>47878000</v>
      </c>
      <c r="AR196" s="49">
        <f>AQ196/AB196*100</f>
        <v>98.601846493495259</v>
      </c>
      <c r="AS196" s="49">
        <f>AB196-AQ196</f>
        <v>678900</v>
      </c>
      <c r="AT196" s="49">
        <v>3091500</v>
      </c>
      <c r="AU196" s="49">
        <f>AT196+U196</f>
        <v>51648400</v>
      </c>
      <c r="AV196" s="49">
        <f>AK196</f>
        <v>47878000</v>
      </c>
      <c r="AW196" s="72">
        <f>AV196/AU196*100</f>
        <v>92.699870663950861</v>
      </c>
      <c r="AX196" s="49">
        <f>AU196-AV196</f>
        <v>3770400</v>
      </c>
      <c r="AY196" s="49">
        <f>AS196/AB196*100</f>
        <v>1.3981535065047397</v>
      </c>
      <c r="AZ196" s="73">
        <f t="shared" si="70"/>
        <v>47878000</v>
      </c>
    </row>
    <row r="197" spans="1:53" ht="20.100000000000001" customHeight="1">
      <c r="A197" s="68"/>
      <c r="B197" s="69"/>
      <c r="C197" s="240" t="s">
        <v>372</v>
      </c>
      <c r="D197" s="240"/>
      <c r="E197" s="241"/>
      <c r="F197" s="70"/>
      <c r="G197" s="71"/>
      <c r="H197" s="71"/>
      <c r="I197" s="240" t="s">
        <v>373</v>
      </c>
      <c r="J197" s="240"/>
      <c r="K197" s="241"/>
      <c r="L197" s="49"/>
      <c r="M197" s="49"/>
      <c r="N197" s="49"/>
      <c r="O197" s="49"/>
      <c r="P197" s="49"/>
      <c r="Q197" s="49"/>
      <c r="R197" s="72"/>
      <c r="S197" s="49"/>
      <c r="T197" s="49"/>
      <c r="U197" s="49"/>
      <c r="V197" s="49"/>
      <c r="W197" s="49"/>
      <c r="X197" s="49"/>
      <c r="Y197" s="49"/>
      <c r="Z197" s="49"/>
      <c r="AA197" s="49"/>
      <c r="AB197" s="49"/>
      <c r="AC197" s="49">
        <f t="shared" si="72"/>
        <v>0</v>
      </c>
      <c r="AD197" s="49"/>
      <c r="AE197" s="49"/>
      <c r="AF197" s="49"/>
      <c r="AG197" s="49"/>
      <c r="AH197" s="49"/>
      <c r="AI197" s="49"/>
      <c r="AJ197" s="49"/>
      <c r="AK197" s="49"/>
      <c r="AL197" s="49"/>
      <c r="AM197" s="49"/>
      <c r="AN197" s="49"/>
      <c r="AO197" s="49"/>
      <c r="AP197" s="49"/>
      <c r="AQ197" s="49"/>
      <c r="AR197" s="49"/>
      <c r="AS197" s="49"/>
      <c r="AT197" s="49"/>
      <c r="AU197" s="49"/>
      <c r="AV197" s="49"/>
      <c r="AW197" s="49"/>
      <c r="AX197" s="49"/>
      <c r="AY197" s="49"/>
      <c r="AZ197" s="73">
        <f t="shared" si="70"/>
        <v>0</v>
      </c>
    </row>
    <row r="198" spans="1:53" ht="20.100000000000001" customHeight="1">
      <c r="A198" s="68"/>
      <c r="B198" s="69"/>
      <c r="C198" s="240" t="s">
        <v>374</v>
      </c>
      <c r="D198" s="240"/>
      <c r="E198" s="241"/>
      <c r="F198" s="70"/>
      <c r="G198" s="71"/>
      <c r="H198" s="71"/>
      <c r="I198" s="71"/>
      <c r="J198" s="240" t="s">
        <v>375</v>
      </c>
      <c r="K198" s="241"/>
      <c r="L198" s="49">
        <v>1443100</v>
      </c>
      <c r="M198" s="49">
        <v>0</v>
      </c>
      <c r="N198" s="49"/>
      <c r="O198" s="49"/>
      <c r="P198" s="49"/>
      <c r="Q198" s="49">
        <f>SUM(N198:P198)</f>
        <v>0</v>
      </c>
      <c r="R198" s="72"/>
      <c r="S198" s="49">
        <f>M198-Q198</f>
        <v>0</v>
      </c>
      <c r="T198" s="49">
        <v>1443100</v>
      </c>
      <c r="U198" s="49">
        <f>T198+M198</f>
        <v>1443100</v>
      </c>
      <c r="V198" s="49">
        <f>T198+S198</f>
        <v>1443100</v>
      </c>
      <c r="W198" s="49"/>
      <c r="X198" s="49"/>
      <c r="Y198" s="49"/>
      <c r="Z198" s="49"/>
      <c r="AA198" s="49">
        <v>0</v>
      </c>
      <c r="AB198" s="49">
        <v>1443100</v>
      </c>
      <c r="AC198" s="49">
        <f t="shared" si="72"/>
        <v>0</v>
      </c>
      <c r="AD198" s="49">
        <f>AA198+T198+M198</f>
        <v>1443100</v>
      </c>
      <c r="AE198" s="49"/>
      <c r="AF198" s="49"/>
      <c r="AG198" s="49"/>
      <c r="AH198" s="49"/>
      <c r="AI198" s="49"/>
      <c r="AJ198" s="49"/>
      <c r="AK198" s="49">
        <f>Z198+Y198+X198+W198+N198+AG198+AJ198+AI198+AH198</f>
        <v>0</v>
      </c>
      <c r="AL198" s="49">
        <f>AK198/AD198*100</f>
        <v>0</v>
      </c>
      <c r="AM198" s="49"/>
      <c r="AN198" s="49"/>
      <c r="AO198" s="42">
        <f>795000+175600+472500</f>
        <v>1443100</v>
      </c>
      <c r="AP198" s="49"/>
      <c r="AQ198" s="49">
        <f>AK198+AM198+AN198+AO198+AP198</f>
        <v>1443100</v>
      </c>
      <c r="AR198" s="49">
        <f>AQ198/AB198*100</f>
        <v>100</v>
      </c>
      <c r="AS198" s="49">
        <f>AB198-AQ198</f>
        <v>0</v>
      </c>
      <c r="AT198" s="49">
        <v>3091500</v>
      </c>
      <c r="AU198" s="49">
        <f>AT198+U198</f>
        <v>4534600</v>
      </c>
      <c r="AV198" s="49">
        <f>AK198</f>
        <v>0</v>
      </c>
      <c r="AW198" s="72">
        <f>AV198/AU198*100</f>
        <v>0</v>
      </c>
      <c r="AX198" s="49">
        <f>AU198-AV198</f>
        <v>4534600</v>
      </c>
      <c r="AY198" s="49">
        <f>AS198/AB198*100</f>
        <v>0</v>
      </c>
      <c r="AZ198" s="73">
        <f t="shared" si="70"/>
        <v>0</v>
      </c>
    </row>
    <row r="199" spans="1:53" ht="20.100000000000001" customHeight="1">
      <c r="A199" s="68"/>
      <c r="B199" s="69"/>
      <c r="C199" s="240" t="s">
        <v>376</v>
      </c>
      <c r="D199" s="240"/>
      <c r="E199" s="241"/>
      <c r="F199" s="70"/>
      <c r="G199" s="71"/>
      <c r="H199" s="71"/>
      <c r="I199" s="71"/>
      <c r="J199" s="240" t="s">
        <v>377</v>
      </c>
      <c r="K199" s="241"/>
      <c r="L199" s="49"/>
      <c r="M199" s="49"/>
      <c r="N199" s="49"/>
      <c r="O199" s="49"/>
      <c r="P199" s="49"/>
      <c r="Q199" s="49"/>
      <c r="R199" s="72"/>
      <c r="S199" s="49"/>
      <c r="T199" s="49"/>
      <c r="U199" s="49"/>
      <c r="V199" s="49"/>
      <c r="W199" s="49"/>
      <c r="X199" s="49"/>
      <c r="Y199" s="49"/>
      <c r="Z199" s="49"/>
      <c r="AA199" s="49"/>
      <c r="AB199" s="49"/>
      <c r="AC199" s="49">
        <f t="shared" si="72"/>
        <v>0</v>
      </c>
      <c r="AD199" s="49"/>
      <c r="AE199" s="49"/>
      <c r="AF199" s="49"/>
      <c r="AG199" s="49"/>
      <c r="AH199" s="49"/>
      <c r="AI199" s="49"/>
      <c r="AJ199" s="49"/>
      <c r="AK199" s="49"/>
      <c r="AL199" s="49"/>
      <c r="AM199" s="49"/>
      <c r="AN199" s="49"/>
      <c r="AO199" s="49"/>
      <c r="AP199" s="49"/>
      <c r="AQ199" s="49"/>
      <c r="AR199" s="49"/>
      <c r="AS199" s="49"/>
      <c r="AT199" s="49"/>
      <c r="AU199" s="49"/>
      <c r="AV199" s="49"/>
      <c r="AW199" s="49"/>
      <c r="AX199" s="49"/>
      <c r="AY199" s="49"/>
      <c r="AZ199" s="73">
        <f t="shared" si="70"/>
        <v>0</v>
      </c>
    </row>
    <row r="200" spans="1:53" ht="20.100000000000001" customHeight="1">
      <c r="A200" s="62">
        <v>16</v>
      </c>
      <c r="B200" s="63"/>
      <c r="C200" s="242" t="s">
        <v>378</v>
      </c>
      <c r="D200" s="242"/>
      <c r="E200" s="243"/>
      <c r="F200" s="64"/>
      <c r="G200" s="244" t="s">
        <v>379</v>
      </c>
      <c r="H200" s="244"/>
      <c r="I200" s="244"/>
      <c r="J200" s="244"/>
      <c r="K200" s="245"/>
      <c r="L200" s="65">
        <f>SUM(L203:L220)</f>
        <v>247000000</v>
      </c>
      <c r="M200" s="65">
        <f>SUM(M203:M220)</f>
        <v>0</v>
      </c>
      <c r="N200" s="65">
        <f>SUM(N203:N220)</f>
        <v>0</v>
      </c>
      <c r="O200" s="65">
        <f>SUM(O203:O220)</f>
        <v>0</v>
      </c>
      <c r="P200" s="65">
        <f>SUM(P203:P220)</f>
        <v>0</v>
      </c>
      <c r="Q200" s="65">
        <f>SUM(N200:P200)</f>
        <v>0</v>
      </c>
      <c r="R200" s="66"/>
      <c r="S200" s="65">
        <f>M200-Q200</f>
        <v>0</v>
      </c>
      <c r="T200" s="65">
        <f>SUM(T203:T220)</f>
        <v>247000000</v>
      </c>
      <c r="U200" s="65">
        <f>T200+M200</f>
        <v>247000000</v>
      </c>
      <c r="V200" s="65">
        <f>T200+S200</f>
        <v>247000000</v>
      </c>
      <c r="W200" s="65">
        <f>SUM(W203:W220)</f>
        <v>0</v>
      </c>
      <c r="X200" s="65">
        <f>SUM(X203:X220)</f>
        <v>0</v>
      </c>
      <c r="Y200" s="65">
        <f>SUM(Y203:Y220)</f>
        <v>0</v>
      </c>
      <c r="Z200" s="65"/>
      <c r="AA200" s="65">
        <f>SUM(AA203:AA220)</f>
        <v>0</v>
      </c>
      <c r="AB200" s="65">
        <f>SUM(AB203:AB220)</f>
        <v>247000000</v>
      </c>
      <c r="AC200" s="65">
        <f t="shared" si="72"/>
        <v>0</v>
      </c>
      <c r="AD200" s="65">
        <f>AA200+T200+M200</f>
        <v>247000000</v>
      </c>
      <c r="AE200" s="65">
        <f t="shared" ref="AE200:AJ200" si="75">SUM(AE203:AE220)</f>
        <v>0</v>
      </c>
      <c r="AF200" s="65">
        <f t="shared" si="75"/>
        <v>108306000</v>
      </c>
      <c r="AG200" s="65">
        <f t="shared" si="75"/>
        <v>0</v>
      </c>
      <c r="AH200" s="65">
        <f t="shared" si="75"/>
        <v>112149800</v>
      </c>
      <c r="AI200" s="65">
        <f t="shared" si="75"/>
        <v>0</v>
      </c>
      <c r="AJ200" s="65">
        <f t="shared" si="75"/>
        <v>0</v>
      </c>
      <c r="AK200" s="65">
        <f>SUM(AK203:AK220)</f>
        <v>220455800</v>
      </c>
      <c r="AL200" s="65">
        <f>AK200/AB200*100</f>
        <v>89.253360323886639</v>
      </c>
      <c r="AM200" s="65">
        <f>SUM(AM203:AM220)</f>
        <v>0</v>
      </c>
      <c r="AN200" s="65">
        <f>SUM(AN203:AN220)</f>
        <v>0</v>
      </c>
      <c r="AO200" s="65">
        <f>SUM(AO203:AO220)</f>
        <v>0</v>
      </c>
      <c r="AP200" s="65">
        <f>SUM(AP203:AP220)</f>
        <v>0</v>
      </c>
      <c r="AQ200" s="65">
        <f>AK200+AM200+AN200+AO200+AP200</f>
        <v>220455800</v>
      </c>
      <c r="AR200" s="65">
        <f>AQ200/AB200*100</f>
        <v>89.253360323886639</v>
      </c>
      <c r="AS200" s="65">
        <f>AB200-AQ200</f>
        <v>26544200</v>
      </c>
      <c r="AT200" s="65">
        <f>SUM(AT203:AT209)</f>
        <v>12366000</v>
      </c>
      <c r="AU200" s="65">
        <f>AT200+U200</f>
        <v>259366000</v>
      </c>
      <c r="AV200" s="65">
        <f>AK200</f>
        <v>220455800</v>
      </c>
      <c r="AW200" s="66">
        <f>AV200/AU200*100</f>
        <v>84.997956555600965</v>
      </c>
      <c r="AX200" s="65">
        <f>AU200-AV200</f>
        <v>38910200</v>
      </c>
      <c r="AY200" s="65">
        <f>AS200/AB200*100</f>
        <v>10.746639676113361</v>
      </c>
      <c r="AZ200" s="67">
        <f t="shared" si="70"/>
        <v>220455800</v>
      </c>
      <c r="BA200" s="29">
        <f>AS200</f>
        <v>26544200</v>
      </c>
    </row>
    <row r="201" spans="1:53" ht="20.100000000000001" customHeight="1">
      <c r="A201" s="68"/>
      <c r="B201" s="69"/>
      <c r="C201" s="240" t="s">
        <v>380</v>
      </c>
      <c r="D201" s="240"/>
      <c r="E201" s="241"/>
      <c r="F201" s="70"/>
      <c r="G201" s="71"/>
      <c r="H201" s="240" t="s">
        <v>10</v>
      </c>
      <c r="I201" s="240"/>
      <c r="J201" s="240"/>
      <c r="K201" s="241"/>
      <c r="L201" s="49"/>
      <c r="M201" s="49"/>
      <c r="N201" s="49"/>
      <c r="O201" s="49"/>
      <c r="P201" s="49"/>
      <c r="Q201" s="49"/>
      <c r="R201" s="72"/>
      <c r="S201" s="49"/>
      <c r="T201" s="49"/>
      <c r="U201" s="49"/>
      <c r="V201" s="49"/>
      <c r="W201" s="49"/>
      <c r="X201" s="49"/>
      <c r="Y201" s="49"/>
      <c r="Z201" s="49"/>
      <c r="AA201" s="49"/>
      <c r="AB201" s="49"/>
      <c r="AC201" s="49">
        <f t="shared" si="72"/>
        <v>0</v>
      </c>
      <c r="AD201" s="49"/>
      <c r="AE201" s="49"/>
      <c r="AF201" s="49"/>
      <c r="AG201" s="49"/>
      <c r="AH201" s="49"/>
      <c r="AI201" s="49"/>
      <c r="AJ201" s="49"/>
      <c r="AK201" s="49"/>
      <c r="AL201" s="49"/>
      <c r="AM201" s="49"/>
      <c r="AN201" s="49"/>
      <c r="AO201" s="49"/>
      <c r="AP201" s="49"/>
      <c r="AQ201" s="49"/>
      <c r="AR201" s="49"/>
      <c r="AS201" s="49"/>
      <c r="AT201" s="49"/>
      <c r="AU201" s="49"/>
      <c r="AV201" s="49"/>
      <c r="AW201" s="49"/>
      <c r="AX201" s="49"/>
      <c r="AY201" s="49"/>
      <c r="AZ201" s="73">
        <f t="shared" si="70"/>
        <v>0</v>
      </c>
    </row>
    <row r="202" spans="1:53" ht="20.100000000000001" customHeight="1">
      <c r="A202" s="68"/>
      <c r="B202" s="69"/>
      <c r="C202" s="240" t="s">
        <v>381</v>
      </c>
      <c r="D202" s="240"/>
      <c r="E202" s="241"/>
      <c r="F202" s="70"/>
      <c r="G202" s="71"/>
      <c r="H202" s="71"/>
      <c r="I202" s="240" t="s">
        <v>177</v>
      </c>
      <c r="J202" s="240"/>
      <c r="K202" s="241"/>
      <c r="L202" s="49"/>
      <c r="M202" s="49"/>
      <c r="N202" s="49"/>
      <c r="O202" s="49"/>
      <c r="P202" s="49"/>
      <c r="Q202" s="49"/>
      <c r="R202" s="72"/>
      <c r="S202" s="49"/>
      <c r="T202" s="49"/>
      <c r="U202" s="49"/>
      <c r="V202" s="49"/>
      <c r="W202" s="49"/>
      <c r="X202" s="49"/>
      <c r="Y202" s="49"/>
      <c r="Z202" s="49"/>
      <c r="AA202" s="49"/>
      <c r="AB202" s="49"/>
      <c r="AC202" s="49">
        <f t="shared" si="72"/>
        <v>0</v>
      </c>
      <c r="AD202" s="49"/>
      <c r="AE202" s="49"/>
      <c r="AF202" s="49"/>
      <c r="AG202" s="49"/>
      <c r="AH202" s="49"/>
      <c r="AI202" s="49"/>
      <c r="AJ202" s="49"/>
      <c r="AK202" s="49"/>
      <c r="AL202" s="49"/>
      <c r="AM202" s="49"/>
      <c r="AN202" s="49"/>
      <c r="AO202" s="49"/>
      <c r="AP202" s="49"/>
      <c r="AQ202" s="49"/>
      <c r="AR202" s="49"/>
      <c r="AS202" s="49"/>
      <c r="AT202" s="49"/>
      <c r="AU202" s="49"/>
      <c r="AV202" s="49"/>
      <c r="AW202" s="49"/>
      <c r="AX202" s="49"/>
      <c r="AY202" s="49"/>
      <c r="AZ202" s="73">
        <f t="shared" si="70"/>
        <v>0</v>
      </c>
    </row>
    <row r="203" spans="1:53" ht="20.100000000000001" customHeight="1">
      <c r="A203" s="68"/>
      <c r="B203" s="69"/>
      <c r="C203" s="240" t="s">
        <v>382</v>
      </c>
      <c r="D203" s="240"/>
      <c r="E203" s="241"/>
      <c r="F203" s="70"/>
      <c r="G203" s="71"/>
      <c r="H203" s="71"/>
      <c r="I203" s="71"/>
      <c r="J203" s="240" t="s">
        <v>283</v>
      </c>
      <c r="K203" s="241"/>
      <c r="L203" s="49">
        <v>7050000</v>
      </c>
      <c r="M203" s="49">
        <v>0</v>
      </c>
      <c r="N203" s="49"/>
      <c r="O203" s="49"/>
      <c r="P203" s="49"/>
      <c r="Q203" s="49">
        <f>SUM(N203:P203)</f>
        <v>0</v>
      </c>
      <c r="R203" s="72"/>
      <c r="S203" s="49">
        <f>M203-Q203</f>
        <v>0</v>
      </c>
      <c r="T203" s="49">
        <v>7050000</v>
      </c>
      <c r="U203" s="49">
        <f>T203+M203</f>
        <v>7050000</v>
      </c>
      <c r="V203" s="49">
        <f>T203+S203</f>
        <v>7050000</v>
      </c>
      <c r="W203" s="49"/>
      <c r="X203" s="49"/>
      <c r="Y203" s="49"/>
      <c r="Z203" s="49"/>
      <c r="AA203" s="49">
        <v>0</v>
      </c>
      <c r="AB203" s="49">
        <v>7050000</v>
      </c>
      <c r="AC203" s="49">
        <f t="shared" si="72"/>
        <v>0</v>
      </c>
      <c r="AD203" s="49">
        <f>AA203+T203+M203</f>
        <v>7050000</v>
      </c>
      <c r="AE203" s="49"/>
      <c r="AF203" s="49"/>
      <c r="AG203" s="49"/>
      <c r="AH203" s="49">
        <v>4700000</v>
      </c>
      <c r="AI203" s="49"/>
      <c r="AJ203" s="49"/>
      <c r="AK203" s="49">
        <f>Z203+Y203+X203+W203+N203+AG203+AJ203+AI203+AH203</f>
        <v>4700000</v>
      </c>
      <c r="AL203" s="49">
        <f>AK203/AD203*100</f>
        <v>66.666666666666657</v>
      </c>
      <c r="AM203" s="49"/>
      <c r="AN203" s="49"/>
      <c r="AO203" s="49"/>
      <c r="AP203" s="49"/>
      <c r="AQ203" s="49">
        <f>AK203+AM203+AN203+AO203+AP203</f>
        <v>4700000</v>
      </c>
      <c r="AR203" s="49">
        <f>AQ203/AB203*100</f>
        <v>66.666666666666657</v>
      </c>
      <c r="AS203" s="49">
        <f>AB203-AQ203</f>
        <v>2350000</v>
      </c>
      <c r="AT203" s="49">
        <v>3091500</v>
      </c>
      <c r="AU203" s="49">
        <f>AT203+U203</f>
        <v>10141500</v>
      </c>
      <c r="AV203" s="49">
        <f>AK203</f>
        <v>4700000</v>
      </c>
      <c r="AW203" s="72">
        <f>AV203/AU203*100</f>
        <v>46.344229157422475</v>
      </c>
      <c r="AX203" s="49">
        <f>AU203-AV203</f>
        <v>5441500</v>
      </c>
      <c r="AY203" s="49">
        <f>AS203/AB203*100</f>
        <v>33.333333333333329</v>
      </c>
      <c r="AZ203" s="73">
        <f t="shared" si="70"/>
        <v>4700000</v>
      </c>
    </row>
    <row r="204" spans="1:53" ht="20.100000000000001" customHeight="1">
      <c r="A204" s="68"/>
      <c r="B204" s="69"/>
      <c r="C204" s="240" t="s">
        <v>383</v>
      </c>
      <c r="D204" s="240"/>
      <c r="E204" s="241"/>
      <c r="F204" s="70"/>
      <c r="G204" s="71"/>
      <c r="H204" s="71"/>
      <c r="I204" s="71"/>
      <c r="J204" s="240" t="s">
        <v>384</v>
      </c>
      <c r="K204" s="241"/>
      <c r="L204" s="49">
        <v>1400000</v>
      </c>
      <c r="M204" s="49">
        <v>0</v>
      </c>
      <c r="N204" s="49"/>
      <c r="O204" s="49"/>
      <c r="P204" s="49"/>
      <c r="Q204" s="49">
        <f>SUM(N204:P204)</f>
        <v>0</v>
      </c>
      <c r="R204" s="72"/>
      <c r="S204" s="49">
        <f>M204-Q204</f>
        <v>0</v>
      </c>
      <c r="T204" s="49">
        <v>1400000</v>
      </c>
      <c r="U204" s="49">
        <f>T204+M204</f>
        <v>1400000</v>
      </c>
      <c r="V204" s="49">
        <f>T204+S204</f>
        <v>1400000</v>
      </c>
      <c r="W204" s="49"/>
      <c r="X204" s="49"/>
      <c r="Y204" s="49"/>
      <c r="Z204" s="49"/>
      <c r="AA204" s="49">
        <v>0</v>
      </c>
      <c r="AB204" s="49">
        <v>1400000</v>
      </c>
      <c r="AC204" s="49">
        <f t="shared" si="72"/>
        <v>0</v>
      </c>
      <c r="AD204" s="49">
        <f>AA204+T204+M204</f>
        <v>1400000</v>
      </c>
      <c r="AE204" s="49"/>
      <c r="AF204" s="49"/>
      <c r="AG204" s="49"/>
      <c r="AH204" s="49">
        <v>1400000</v>
      </c>
      <c r="AI204" s="49"/>
      <c r="AJ204" s="49"/>
      <c r="AK204" s="49">
        <f>Z204+Y204+X204+W204+N204+AG204+AJ204+AI204+AH204</f>
        <v>1400000</v>
      </c>
      <c r="AL204" s="49">
        <f>AK204/AD204*100</f>
        <v>100</v>
      </c>
      <c r="AM204" s="49"/>
      <c r="AN204" s="49"/>
      <c r="AO204" s="49"/>
      <c r="AP204" s="49"/>
      <c r="AQ204" s="49">
        <f>AK204+AM204+AN204+AO204+AP204</f>
        <v>1400000</v>
      </c>
      <c r="AR204" s="49">
        <f>AQ204/AB204*100</f>
        <v>100</v>
      </c>
      <c r="AS204" s="49">
        <f>AB204-AQ204</f>
        <v>0</v>
      </c>
      <c r="AT204" s="49">
        <v>3091500</v>
      </c>
      <c r="AU204" s="49">
        <f>AT204+U204</f>
        <v>4491500</v>
      </c>
      <c r="AV204" s="49">
        <f>AK204</f>
        <v>1400000</v>
      </c>
      <c r="AW204" s="72">
        <f>AV204/AU204*100</f>
        <v>31.169987754647664</v>
      </c>
      <c r="AX204" s="49">
        <f>AU204-AV204</f>
        <v>3091500</v>
      </c>
      <c r="AY204" s="49">
        <f>AS204/AB204*100</f>
        <v>0</v>
      </c>
      <c r="AZ204" s="73">
        <f t="shared" si="70"/>
        <v>1400000</v>
      </c>
    </row>
    <row r="205" spans="1:53" ht="20.100000000000001" customHeight="1">
      <c r="A205" s="68"/>
      <c r="B205" s="69"/>
      <c r="C205" s="240" t="s">
        <v>385</v>
      </c>
      <c r="D205" s="240"/>
      <c r="E205" s="241"/>
      <c r="F205" s="70"/>
      <c r="G205" s="71"/>
      <c r="H205" s="240" t="s">
        <v>143</v>
      </c>
      <c r="I205" s="240"/>
      <c r="J205" s="240"/>
      <c r="K205" s="241"/>
      <c r="L205" s="49"/>
      <c r="M205" s="49"/>
      <c r="N205" s="49"/>
      <c r="O205" s="49"/>
      <c r="P205" s="49"/>
      <c r="Q205" s="49"/>
      <c r="R205" s="72"/>
      <c r="S205" s="49"/>
      <c r="T205" s="49"/>
      <c r="U205" s="49"/>
      <c r="V205" s="49"/>
      <c r="W205" s="49"/>
      <c r="X205" s="49"/>
      <c r="Y205" s="49"/>
      <c r="Z205" s="49"/>
      <c r="AA205" s="49"/>
      <c r="AB205" s="49"/>
      <c r="AC205" s="49">
        <f t="shared" si="72"/>
        <v>0</v>
      </c>
      <c r="AD205" s="49"/>
      <c r="AE205" s="49"/>
      <c r="AF205" s="49"/>
      <c r="AG205" s="49"/>
      <c r="AH205" s="49"/>
      <c r="AI205" s="49"/>
      <c r="AJ205" s="49"/>
      <c r="AK205" s="49"/>
      <c r="AL205" s="49"/>
      <c r="AM205" s="49"/>
      <c r="AN205" s="49"/>
      <c r="AO205" s="49"/>
      <c r="AP205" s="49"/>
      <c r="AQ205" s="49"/>
      <c r="AR205" s="49"/>
      <c r="AS205" s="49"/>
      <c r="AT205" s="49"/>
      <c r="AU205" s="49"/>
      <c r="AV205" s="49"/>
      <c r="AW205" s="49"/>
      <c r="AX205" s="49"/>
      <c r="AY205" s="49"/>
      <c r="AZ205" s="73">
        <f t="shared" si="70"/>
        <v>0</v>
      </c>
    </row>
    <row r="206" spans="1:53" ht="20.100000000000001" customHeight="1">
      <c r="A206" s="68"/>
      <c r="B206" s="69"/>
      <c r="C206" s="240" t="s">
        <v>386</v>
      </c>
      <c r="D206" s="240"/>
      <c r="E206" s="241"/>
      <c r="F206" s="70"/>
      <c r="G206" s="71"/>
      <c r="H206" s="71"/>
      <c r="I206" s="240" t="s">
        <v>145</v>
      </c>
      <c r="J206" s="240"/>
      <c r="K206" s="241"/>
      <c r="L206" s="49"/>
      <c r="M206" s="49"/>
      <c r="N206" s="49"/>
      <c r="O206" s="49"/>
      <c r="P206" s="49"/>
      <c r="Q206" s="49"/>
      <c r="R206" s="72"/>
      <c r="S206" s="49"/>
      <c r="T206" s="49"/>
      <c r="U206" s="49"/>
      <c r="V206" s="49"/>
      <c r="W206" s="49"/>
      <c r="X206" s="49"/>
      <c r="Y206" s="49"/>
      <c r="Z206" s="49"/>
      <c r="AA206" s="49"/>
      <c r="AB206" s="49"/>
      <c r="AC206" s="49">
        <f t="shared" si="72"/>
        <v>0</v>
      </c>
      <c r="AD206" s="49"/>
      <c r="AE206" s="49"/>
      <c r="AF206" s="49"/>
      <c r="AG206" s="49"/>
      <c r="AH206" s="49"/>
      <c r="AI206" s="49"/>
      <c r="AJ206" s="49"/>
      <c r="AK206" s="49"/>
      <c r="AL206" s="49"/>
      <c r="AM206" s="49"/>
      <c r="AN206" s="49"/>
      <c r="AO206" s="49"/>
      <c r="AP206" s="49"/>
      <c r="AQ206" s="49"/>
      <c r="AR206" s="49"/>
      <c r="AS206" s="49"/>
      <c r="AT206" s="49"/>
      <c r="AU206" s="49"/>
      <c r="AV206" s="49"/>
      <c r="AW206" s="49"/>
      <c r="AX206" s="49"/>
      <c r="AY206" s="49"/>
      <c r="AZ206" s="73">
        <f t="shared" si="70"/>
        <v>0</v>
      </c>
    </row>
    <row r="207" spans="1:53" ht="20.100000000000001" customHeight="1">
      <c r="A207" s="68"/>
      <c r="B207" s="69"/>
      <c r="C207" s="240" t="s">
        <v>387</v>
      </c>
      <c r="D207" s="240"/>
      <c r="E207" s="241"/>
      <c r="F207" s="70"/>
      <c r="G207" s="71"/>
      <c r="H207" s="71"/>
      <c r="I207" s="71"/>
      <c r="J207" s="240" t="s">
        <v>147</v>
      </c>
      <c r="K207" s="241"/>
      <c r="L207" s="49">
        <v>8530000</v>
      </c>
      <c r="M207" s="49">
        <v>0</v>
      </c>
      <c r="N207" s="49"/>
      <c r="O207" s="49"/>
      <c r="P207" s="49"/>
      <c r="Q207" s="49">
        <f>SUM(N207:P207)</f>
        <v>0</v>
      </c>
      <c r="R207" s="72"/>
      <c r="S207" s="49">
        <f>M207-Q207</f>
        <v>0</v>
      </c>
      <c r="T207" s="49">
        <v>8530000</v>
      </c>
      <c r="U207" s="49">
        <f>T207+M207</f>
        <v>8530000</v>
      </c>
      <c r="V207" s="49">
        <f>T207+S207</f>
        <v>8530000</v>
      </c>
      <c r="W207" s="49"/>
      <c r="X207" s="49"/>
      <c r="Y207" s="49"/>
      <c r="Z207" s="49"/>
      <c r="AA207" s="49">
        <v>0</v>
      </c>
      <c r="AB207" s="49">
        <v>8530000</v>
      </c>
      <c r="AC207" s="49">
        <f t="shared" si="72"/>
        <v>0</v>
      </c>
      <c r="AD207" s="49">
        <f>AA207+T207+M207</f>
        <v>8530000</v>
      </c>
      <c r="AE207" s="49"/>
      <c r="AF207" s="49"/>
      <c r="AG207" s="49"/>
      <c r="AH207" s="49">
        <v>8530000</v>
      </c>
      <c r="AI207" s="49"/>
      <c r="AJ207" s="49"/>
      <c r="AK207" s="49">
        <f>Z207+Y207+X207+W207+N207+AG207+AJ207+AI207+AH207</f>
        <v>8530000</v>
      </c>
      <c r="AL207" s="49">
        <f>AK207/AD207*100</f>
        <v>100</v>
      </c>
      <c r="AM207" s="49"/>
      <c r="AN207" s="49"/>
      <c r="AO207" s="49"/>
      <c r="AP207" s="49"/>
      <c r="AQ207" s="49">
        <f>AK207+AM207+AN207+AO207+AP207</f>
        <v>8530000</v>
      </c>
      <c r="AR207" s="49">
        <f>AQ207/AB207*100</f>
        <v>100</v>
      </c>
      <c r="AS207" s="49">
        <f>AB207-AQ207</f>
        <v>0</v>
      </c>
      <c r="AT207" s="49">
        <v>3091500</v>
      </c>
      <c r="AU207" s="49">
        <f>AT207+U207</f>
        <v>11621500</v>
      </c>
      <c r="AV207" s="49">
        <f>AK207</f>
        <v>8530000</v>
      </c>
      <c r="AW207" s="72">
        <f>AV207/AU207*100</f>
        <v>73.398442541840552</v>
      </c>
      <c r="AX207" s="49">
        <f>AU207-AV207</f>
        <v>3091500</v>
      </c>
      <c r="AY207" s="49">
        <f>AS207/AB207*100</f>
        <v>0</v>
      </c>
      <c r="AZ207" s="73">
        <f t="shared" si="70"/>
        <v>8530000</v>
      </c>
    </row>
    <row r="208" spans="1:53" ht="20.100000000000001" customHeight="1">
      <c r="A208" s="68"/>
      <c r="B208" s="69"/>
      <c r="C208" s="240" t="s">
        <v>388</v>
      </c>
      <c r="D208" s="240"/>
      <c r="E208" s="241"/>
      <c r="F208" s="70"/>
      <c r="G208" s="71"/>
      <c r="H208" s="71"/>
      <c r="I208" s="240" t="s">
        <v>389</v>
      </c>
      <c r="J208" s="240"/>
      <c r="K208" s="241"/>
      <c r="L208" s="49"/>
      <c r="M208" s="49"/>
      <c r="N208" s="49"/>
      <c r="O208" s="49"/>
      <c r="P208" s="49"/>
      <c r="Q208" s="49"/>
      <c r="R208" s="72"/>
      <c r="S208" s="49"/>
      <c r="T208" s="49"/>
      <c r="U208" s="49"/>
      <c r="V208" s="49"/>
      <c r="W208" s="49"/>
      <c r="X208" s="49"/>
      <c r="Y208" s="49"/>
      <c r="Z208" s="49"/>
      <c r="AA208" s="49"/>
      <c r="AB208" s="49"/>
      <c r="AC208" s="49">
        <f t="shared" si="72"/>
        <v>0</v>
      </c>
      <c r="AD208" s="49"/>
      <c r="AE208" s="49"/>
      <c r="AF208" s="49"/>
      <c r="AG208" s="49"/>
      <c r="AH208" s="49"/>
      <c r="AI208" s="49"/>
      <c r="AJ208" s="49"/>
      <c r="AK208" s="49"/>
      <c r="AL208" s="49"/>
      <c r="AM208" s="49"/>
      <c r="AN208" s="49"/>
      <c r="AO208" s="49"/>
      <c r="AP208" s="49"/>
      <c r="AQ208" s="49"/>
      <c r="AR208" s="49"/>
      <c r="AS208" s="49"/>
      <c r="AT208" s="49"/>
      <c r="AU208" s="49"/>
      <c r="AV208" s="49"/>
      <c r="AW208" s="49"/>
      <c r="AX208" s="49"/>
      <c r="AY208" s="49"/>
      <c r="AZ208" s="73">
        <f t="shared" si="70"/>
        <v>0</v>
      </c>
    </row>
    <row r="209" spans="1:56" ht="20.100000000000001" customHeight="1">
      <c r="A209" s="68"/>
      <c r="B209" s="69"/>
      <c r="C209" s="240" t="s">
        <v>390</v>
      </c>
      <c r="D209" s="240"/>
      <c r="E209" s="241"/>
      <c r="F209" s="70"/>
      <c r="G209" s="71"/>
      <c r="H209" s="71"/>
      <c r="I209" s="71"/>
      <c r="J209" s="240" t="s">
        <v>391</v>
      </c>
      <c r="K209" s="241"/>
      <c r="L209" s="49">
        <v>129475000</v>
      </c>
      <c r="M209" s="49">
        <v>0</v>
      </c>
      <c r="N209" s="49"/>
      <c r="O209" s="49"/>
      <c r="P209" s="49"/>
      <c r="Q209" s="49">
        <f>SUM(N209:P209)</f>
        <v>0</v>
      </c>
      <c r="R209" s="72"/>
      <c r="S209" s="49">
        <f>M209-Q209</f>
        <v>0</v>
      </c>
      <c r="T209" s="49">
        <v>129475000</v>
      </c>
      <c r="U209" s="49">
        <f>T209+M209</f>
        <v>129475000</v>
      </c>
      <c r="V209" s="49">
        <f>T209+S209</f>
        <v>129475000</v>
      </c>
      <c r="W209" s="49"/>
      <c r="X209" s="49"/>
      <c r="Y209" s="49"/>
      <c r="Z209" s="49"/>
      <c r="AA209" s="49">
        <v>0</v>
      </c>
      <c r="AB209" s="49">
        <v>129475000</v>
      </c>
      <c r="AC209" s="49">
        <f t="shared" si="72"/>
        <v>0</v>
      </c>
      <c r="AD209" s="49">
        <f>AA209+T209+M209</f>
        <v>129475000</v>
      </c>
      <c r="AE209" s="49"/>
      <c r="AF209" s="49">
        <v>108306000</v>
      </c>
      <c r="AG209" s="49"/>
      <c r="AH209" s="49">
        <v>19750000</v>
      </c>
      <c r="AI209" s="49"/>
      <c r="AJ209" s="49"/>
      <c r="AK209" s="49">
        <f>Z209+Y209+X209+W209+N209+AG209+AJ209+AI209+AH209+AF209</f>
        <v>128056000</v>
      </c>
      <c r="AL209" s="49">
        <f>AK209/AD209*100</f>
        <v>98.904035528094226</v>
      </c>
      <c r="AM209" s="49"/>
      <c r="AN209" s="49"/>
      <c r="AO209" s="49"/>
      <c r="AP209" s="49"/>
      <c r="AQ209" s="49">
        <f>AK209+AM209+AN209+AO209+AP209</f>
        <v>128056000</v>
      </c>
      <c r="AR209" s="49">
        <f>AQ209/AB209*100</f>
        <v>98.904035528094226</v>
      </c>
      <c r="AS209" s="49">
        <f>AB209-AQ209</f>
        <v>1419000</v>
      </c>
      <c r="AT209" s="49">
        <v>3091500</v>
      </c>
      <c r="AU209" s="49">
        <f>AT209+U209</f>
        <v>132566500</v>
      </c>
      <c r="AV209" s="49">
        <f>AK209</f>
        <v>128056000</v>
      </c>
      <c r="AW209" s="72">
        <f>AV209/AU209*100</f>
        <v>96.597556697959135</v>
      </c>
      <c r="AX209" s="49">
        <f>AU209-AV209</f>
        <v>4510500</v>
      </c>
      <c r="AY209" s="49">
        <f>AS209/AB209*100</f>
        <v>1.0959644719057733</v>
      </c>
      <c r="AZ209" s="73">
        <f t="shared" si="70"/>
        <v>128056000</v>
      </c>
    </row>
    <row r="210" spans="1:56" ht="20.100000000000001" customHeight="1">
      <c r="A210" s="68"/>
      <c r="B210" s="69"/>
      <c r="C210" s="240" t="s">
        <v>392</v>
      </c>
      <c r="D210" s="240"/>
      <c r="E210" s="241"/>
      <c r="F210" s="70"/>
      <c r="G210" s="71"/>
      <c r="H210" s="71"/>
      <c r="I210" s="240" t="s">
        <v>163</v>
      </c>
      <c r="J210" s="240"/>
      <c r="K210" s="241"/>
      <c r="L210" s="49"/>
      <c r="M210" s="49"/>
      <c r="N210" s="49"/>
      <c r="O210" s="49"/>
      <c r="P210" s="49"/>
      <c r="Q210" s="49"/>
      <c r="R210" s="72"/>
      <c r="S210" s="49"/>
      <c r="T210" s="49"/>
      <c r="U210" s="49"/>
      <c r="V210" s="49"/>
      <c r="W210" s="49"/>
      <c r="X210" s="49"/>
      <c r="Y210" s="49"/>
      <c r="Z210" s="49"/>
      <c r="AA210" s="49"/>
      <c r="AB210" s="49"/>
      <c r="AC210" s="49">
        <f t="shared" si="72"/>
        <v>0</v>
      </c>
      <c r="AD210" s="49"/>
      <c r="AE210" s="49"/>
      <c r="AF210" s="49"/>
      <c r="AG210" s="49"/>
      <c r="AH210" s="49"/>
      <c r="AI210" s="49"/>
      <c r="AJ210" s="49"/>
      <c r="AK210" s="49"/>
      <c r="AL210" s="49"/>
      <c r="AM210" s="49"/>
      <c r="AN210" s="49"/>
      <c r="AO210" s="49"/>
      <c r="AP210" s="49"/>
      <c r="AQ210" s="49"/>
      <c r="AR210" s="49"/>
      <c r="AS210" s="49"/>
      <c r="AT210" s="49"/>
      <c r="AU210" s="49"/>
      <c r="AV210" s="49"/>
      <c r="AW210" s="49"/>
      <c r="AX210" s="49"/>
      <c r="AY210" s="49"/>
      <c r="AZ210" s="73">
        <f t="shared" si="70"/>
        <v>0</v>
      </c>
    </row>
    <row r="211" spans="1:56" ht="20.100000000000001" customHeight="1">
      <c r="A211" s="68"/>
      <c r="B211" s="69"/>
      <c r="C211" s="240" t="s">
        <v>393</v>
      </c>
      <c r="D211" s="240"/>
      <c r="E211" s="241"/>
      <c r="F211" s="70"/>
      <c r="G211" s="71"/>
      <c r="H211" s="71"/>
      <c r="I211" s="71"/>
      <c r="J211" s="240" t="s">
        <v>352</v>
      </c>
      <c r="K211" s="241"/>
      <c r="L211" s="49">
        <v>30000000</v>
      </c>
      <c r="M211" s="49">
        <v>0</v>
      </c>
      <c r="N211" s="49"/>
      <c r="O211" s="49"/>
      <c r="P211" s="49"/>
      <c r="Q211" s="49">
        <f>SUM(N211:P211)</f>
        <v>0</v>
      </c>
      <c r="R211" s="72"/>
      <c r="S211" s="49">
        <f>M211-Q211</f>
        <v>0</v>
      </c>
      <c r="T211" s="49">
        <v>30000000</v>
      </c>
      <c r="U211" s="49">
        <f>T211+M211</f>
        <v>30000000</v>
      </c>
      <c r="V211" s="49">
        <f>T211+S211</f>
        <v>30000000</v>
      </c>
      <c r="W211" s="49"/>
      <c r="X211" s="49"/>
      <c r="Y211" s="49"/>
      <c r="Z211" s="49"/>
      <c r="AA211" s="49">
        <v>0</v>
      </c>
      <c r="AB211" s="49">
        <v>30000000</v>
      </c>
      <c r="AC211" s="49">
        <f t="shared" si="72"/>
        <v>0</v>
      </c>
      <c r="AD211" s="49">
        <f>AA211+T211+M211</f>
        <v>30000000</v>
      </c>
      <c r="AE211" s="49"/>
      <c r="AF211" s="49"/>
      <c r="AG211" s="49"/>
      <c r="AH211" s="49">
        <v>30000000</v>
      </c>
      <c r="AI211" s="49"/>
      <c r="AJ211" s="49"/>
      <c r="AK211" s="49">
        <f>Z211+Y211+X211+W211+N211+AG211+AJ211+AI211+AH211</f>
        <v>30000000</v>
      </c>
      <c r="AL211" s="49">
        <f>AK211/AD211*100</f>
        <v>100</v>
      </c>
      <c r="AM211" s="49"/>
      <c r="AN211" s="49"/>
      <c r="AO211" s="49"/>
      <c r="AP211" s="49"/>
      <c r="AQ211" s="49">
        <f>AK211+AM211+AN211+AO211+AP211</f>
        <v>30000000</v>
      </c>
      <c r="AR211" s="49">
        <f>AQ211/AB211*100</f>
        <v>100</v>
      </c>
      <c r="AS211" s="49">
        <f>AB211-AQ211</f>
        <v>0</v>
      </c>
      <c r="AT211" s="49">
        <v>3091500</v>
      </c>
      <c r="AU211" s="49">
        <f>AT211+U211</f>
        <v>33091500</v>
      </c>
      <c r="AV211" s="49">
        <f>AK211</f>
        <v>30000000</v>
      </c>
      <c r="AW211" s="72">
        <f>AV211/AU211*100</f>
        <v>90.657721771451889</v>
      </c>
      <c r="AX211" s="49">
        <f>AU211-AV211</f>
        <v>3091500</v>
      </c>
      <c r="AY211" s="49">
        <f>AS211/AB211*100</f>
        <v>0</v>
      </c>
      <c r="AZ211" s="73">
        <f t="shared" si="70"/>
        <v>30000000</v>
      </c>
    </row>
    <row r="212" spans="1:56" ht="20.100000000000001" customHeight="1">
      <c r="A212" s="68"/>
      <c r="B212" s="69"/>
      <c r="C212" s="240" t="s">
        <v>394</v>
      </c>
      <c r="D212" s="240"/>
      <c r="E212" s="241"/>
      <c r="F212" s="70"/>
      <c r="G212" s="71"/>
      <c r="H212" s="71"/>
      <c r="I212" s="240" t="s">
        <v>151</v>
      </c>
      <c r="J212" s="240"/>
      <c r="K212" s="241"/>
      <c r="L212" s="49"/>
      <c r="M212" s="49"/>
      <c r="N212" s="49"/>
      <c r="O212" s="49"/>
      <c r="P212" s="49"/>
      <c r="Q212" s="49"/>
      <c r="R212" s="72"/>
      <c r="S212" s="49"/>
      <c r="T212" s="49"/>
      <c r="U212" s="49"/>
      <c r="V212" s="49"/>
      <c r="W212" s="49"/>
      <c r="X212" s="49"/>
      <c r="Y212" s="49"/>
      <c r="Z212" s="49"/>
      <c r="AA212" s="49"/>
      <c r="AB212" s="49"/>
      <c r="AC212" s="49">
        <f t="shared" si="72"/>
        <v>0</v>
      </c>
      <c r="AD212" s="49"/>
      <c r="AE212" s="49"/>
      <c r="AF212" s="49"/>
      <c r="AG212" s="49"/>
      <c r="AH212" s="49"/>
      <c r="AI212" s="49"/>
      <c r="AJ212" s="49"/>
      <c r="AK212" s="49"/>
      <c r="AL212" s="49"/>
      <c r="AM212" s="49"/>
      <c r="AN212" s="49"/>
      <c r="AO212" s="49"/>
      <c r="AP212" s="49"/>
      <c r="AQ212" s="49"/>
      <c r="AR212" s="49"/>
      <c r="AS212" s="49"/>
      <c r="AT212" s="49"/>
      <c r="AU212" s="49"/>
      <c r="AV212" s="49"/>
      <c r="AW212" s="49"/>
      <c r="AX212" s="49"/>
      <c r="AY212" s="49"/>
      <c r="AZ212" s="73">
        <f t="shared" si="70"/>
        <v>0</v>
      </c>
    </row>
    <row r="213" spans="1:56" ht="20.100000000000001" customHeight="1">
      <c r="A213" s="68"/>
      <c r="B213" s="69"/>
      <c r="C213" s="240" t="s">
        <v>395</v>
      </c>
      <c r="D213" s="240"/>
      <c r="E213" s="241"/>
      <c r="F213" s="70"/>
      <c r="G213" s="71"/>
      <c r="H213" s="71"/>
      <c r="I213" s="71"/>
      <c r="J213" s="240" t="s">
        <v>153</v>
      </c>
      <c r="K213" s="241"/>
      <c r="L213" s="49">
        <v>4000000</v>
      </c>
      <c r="M213" s="49">
        <v>0</v>
      </c>
      <c r="N213" s="49"/>
      <c r="O213" s="49"/>
      <c r="P213" s="49"/>
      <c r="Q213" s="49">
        <f>SUM(N213:P213)</f>
        <v>0</v>
      </c>
      <c r="R213" s="72"/>
      <c r="S213" s="49">
        <f>M213-Q213</f>
        <v>0</v>
      </c>
      <c r="T213" s="49">
        <v>4000000</v>
      </c>
      <c r="U213" s="49">
        <f>T213+M213</f>
        <v>4000000</v>
      </c>
      <c r="V213" s="49">
        <f>T213+S213</f>
        <v>4000000</v>
      </c>
      <c r="W213" s="49"/>
      <c r="X213" s="49"/>
      <c r="Y213" s="49"/>
      <c r="Z213" s="49"/>
      <c r="AA213" s="49">
        <v>0</v>
      </c>
      <c r="AB213" s="49">
        <v>4000000</v>
      </c>
      <c r="AC213" s="49">
        <f t="shared" si="72"/>
        <v>0</v>
      </c>
      <c r="AD213" s="49">
        <f>AA213+T213+M213</f>
        <v>4000000</v>
      </c>
      <c r="AE213" s="49"/>
      <c r="AF213" s="49"/>
      <c r="AG213" s="49"/>
      <c r="AH213" s="49">
        <v>4000000</v>
      </c>
      <c r="AI213" s="49"/>
      <c r="AJ213" s="49"/>
      <c r="AK213" s="49">
        <f>Z213+Y213+X213+W213+N213+AG213+AJ213+AI213+AH213</f>
        <v>4000000</v>
      </c>
      <c r="AL213" s="49">
        <f>AK213/AD213*100</f>
        <v>100</v>
      </c>
      <c r="AM213" s="49"/>
      <c r="AN213" s="49"/>
      <c r="AO213" s="49"/>
      <c r="AP213" s="49"/>
      <c r="AQ213" s="49">
        <f>AK213+AM213+AN213+AO213+AP213</f>
        <v>4000000</v>
      </c>
      <c r="AR213" s="49">
        <f>AQ213/AB213*100</f>
        <v>100</v>
      </c>
      <c r="AS213" s="49">
        <f>AB213-AQ213</f>
        <v>0</v>
      </c>
      <c r="AT213" s="49">
        <v>3091500</v>
      </c>
      <c r="AU213" s="49">
        <f>AT213+U213</f>
        <v>7091500</v>
      </c>
      <c r="AV213" s="49">
        <f>AK213</f>
        <v>4000000</v>
      </c>
      <c r="AW213" s="72">
        <f>AV213/AU213*100</f>
        <v>56.405555947260808</v>
      </c>
      <c r="AX213" s="49">
        <f>AU213-AV213</f>
        <v>3091500</v>
      </c>
      <c r="AY213" s="49">
        <f>AS213/AB213*100</f>
        <v>0</v>
      </c>
      <c r="AZ213" s="73">
        <f t="shared" si="70"/>
        <v>4000000</v>
      </c>
    </row>
    <row r="214" spans="1:56" ht="20.100000000000001" customHeight="1">
      <c r="A214" s="68"/>
      <c r="B214" s="69"/>
      <c r="C214" s="240" t="s">
        <v>396</v>
      </c>
      <c r="D214" s="240"/>
      <c r="E214" s="241"/>
      <c r="F214" s="70"/>
      <c r="G214" s="71"/>
      <c r="H214" s="71"/>
      <c r="I214" s="71"/>
      <c r="J214" s="240" t="s">
        <v>155</v>
      </c>
      <c r="K214" s="241"/>
      <c r="L214" s="49">
        <v>1620000</v>
      </c>
      <c r="M214" s="49">
        <v>0</v>
      </c>
      <c r="N214" s="49"/>
      <c r="O214" s="49"/>
      <c r="P214" s="49"/>
      <c r="Q214" s="49">
        <f>SUM(N214:P214)</f>
        <v>0</v>
      </c>
      <c r="R214" s="72"/>
      <c r="S214" s="49">
        <f>M214-Q214</f>
        <v>0</v>
      </c>
      <c r="T214" s="49">
        <v>1620000</v>
      </c>
      <c r="U214" s="49">
        <f>T214+M214</f>
        <v>1620000</v>
      </c>
      <c r="V214" s="49">
        <f>T214+S214</f>
        <v>1620000</v>
      </c>
      <c r="W214" s="49"/>
      <c r="X214" s="49"/>
      <c r="Y214" s="49"/>
      <c r="Z214" s="49"/>
      <c r="AA214" s="49">
        <v>0</v>
      </c>
      <c r="AB214" s="49">
        <v>1620000</v>
      </c>
      <c r="AC214" s="49">
        <f t="shared" si="72"/>
        <v>0</v>
      </c>
      <c r="AD214" s="49">
        <f>AA214+T214+M214</f>
        <v>1620000</v>
      </c>
      <c r="AE214" s="49"/>
      <c r="AF214" s="49"/>
      <c r="AG214" s="49"/>
      <c r="AH214" s="49">
        <v>1619800</v>
      </c>
      <c r="AI214" s="49"/>
      <c r="AJ214" s="49"/>
      <c r="AK214" s="49">
        <f>Z214+Y214+X214+W214+N214+AG214+AJ214+AI214+AH214</f>
        <v>1619800</v>
      </c>
      <c r="AL214" s="49">
        <f>AK214/AD214*100</f>
        <v>99.987654320987644</v>
      </c>
      <c r="AM214" s="49"/>
      <c r="AN214" s="49"/>
      <c r="AO214" s="49"/>
      <c r="AP214" s="49"/>
      <c r="AQ214" s="49">
        <f>AK214+AM214+AN214+AO214+AP214</f>
        <v>1619800</v>
      </c>
      <c r="AR214" s="49">
        <f>AQ214/AB214*100</f>
        <v>99.987654320987644</v>
      </c>
      <c r="AS214" s="49">
        <f>AB214-AQ214</f>
        <v>200</v>
      </c>
      <c r="AT214" s="49">
        <v>3091500</v>
      </c>
      <c r="AU214" s="49">
        <f>AT214+U214</f>
        <v>4711500</v>
      </c>
      <c r="AV214" s="49">
        <f>AK214</f>
        <v>1619800</v>
      </c>
      <c r="AW214" s="72">
        <f>AV214/AU214*100</f>
        <v>34.379709222116098</v>
      </c>
      <c r="AX214" s="49">
        <f>AU214-AV214</f>
        <v>3091700</v>
      </c>
      <c r="AY214" s="49">
        <f>AS214/AB214*100</f>
        <v>1.234567901234568E-2</v>
      </c>
      <c r="AZ214" s="73">
        <f t="shared" si="70"/>
        <v>1619800</v>
      </c>
    </row>
    <row r="215" spans="1:56" ht="20.100000000000001" customHeight="1">
      <c r="A215" s="68"/>
      <c r="B215" s="69"/>
      <c r="C215" s="240" t="s">
        <v>397</v>
      </c>
      <c r="D215" s="240"/>
      <c r="E215" s="241"/>
      <c r="F215" s="70"/>
      <c r="G215" s="71"/>
      <c r="H215" s="71"/>
      <c r="I215" s="240" t="s">
        <v>193</v>
      </c>
      <c r="J215" s="240"/>
      <c r="K215" s="241"/>
      <c r="L215" s="49"/>
      <c r="M215" s="49"/>
      <c r="N215" s="49"/>
      <c r="O215" s="49"/>
      <c r="P215" s="49"/>
      <c r="Q215" s="49"/>
      <c r="R215" s="72"/>
      <c r="S215" s="49"/>
      <c r="T215" s="49"/>
      <c r="U215" s="49"/>
      <c r="V215" s="49"/>
      <c r="W215" s="49"/>
      <c r="X215" s="49"/>
      <c r="Y215" s="49"/>
      <c r="Z215" s="49"/>
      <c r="AA215" s="49"/>
      <c r="AB215" s="49"/>
      <c r="AC215" s="49">
        <f t="shared" si="72"/>
        <v>0</v>
      </c>
      <c r="AD215" s="49"/>
      <c r="AE215" s="49"/>
      <c r="AF215" s="49"/>
      <c r="AG215" s="49"/>
      <c r="AH215" s="49"/>
      <c r="AI215" s="49"/>
      <c r="AJ215" s="49"/>
      <c r="AK215" s="49"/>
      <c r="AL215" s="49"/>
      <c r="AM215" s="49"/>
      <c r="AN215" s="49"/>
      <c r="AO215" s="49"/>
      <c r="AP215" s="49"/>
      <c r="AQ215" s="49"/>
      <c r="AR215" s="49"/>
      <c r="AS215" s="49"/>
      <c r="AT215" s="49"/>
      <c r="AU215" s="49"/>
      <c r="AV215" s="49"/>
      <c r="AW215" s="49"/>
      <c r="AX215" s="49"/>
      <c r="AY215" s="49"/>
      <c r="AZ215" s="73">
        <f t="shared" si="70"/>
        <v>0</v>
      </c>
    </row>
    <row r="216" spans="1:56" ht="20.100000000000001" customHeight="1">
      <c r="A216" s="68"/>
      <c r="B216" s="69"/>
      <c r="C216" s="240" t="s">
        <v>398</v>
      </c>
      <c r="D216" s="240"/>
      <c r="E216" s="241"/>
      <c r="F216" s="70"/>
      <c r="G216" s="71"/>
      <c r="H216" s="71"/>
      <c r="I216" s="71"/>
      <c r="J216" s="240" t="s">
        <v>195</v>
      </c>
      <c r="K216" s="241"/>
      <c r="L216" s="49">
        <v>32525000</v>
      </c>
      <c r="M216" s="49">
        <v>0</v>
      </c>
      <c r="N216" s="49"/>
      <c r="O216" s="49"/>
      <c r="P216" s="49"/>
      <c r="Q216" s="49">
        <f>SUM(N216:P216)</f>
        <v>0</v>
      </c>
      <c r="R216" s="72"/>
      <c r="S216" s="49">
        <f>M216-Q216</f>
        <v>0</v>
      </c>
      <c r="T216" s="49">
        <v>32525000</v>
      </c>
      <c r="U216" s="49">
        <f>T216+M216</f>
        <v>32525000</v>
      </c>
      <c r="V216" s="49">
        <f>T216+S216</f>
        <v>32525000</v>
      </c>
      <c r="W216" s="49"/>
      <c r="X216" s="49"/>
      <c r="Y216" s="49"/>
      <c r="Z216" s="49"/>
      <c r="AA216" s="49">
        <v>0</v>
      </c>
      <c r="AB216" s="49">
        <v>32525000</v>
      </c>
      <c r="AC216" s="49">
        <f t="shared" si="72"/>
        <v>0</v>
      </c>
      <c r="AD216" s="49">
        <f>AA216+T216+M216</f>
        <v>32525000</v>
      </c>
      <c r="AE216" s="49"/>
      <c r="AF216" s="49"/>
      <c r="AG216" s="49"/>
      <c r="AH216" s="49">
        <v>24150000</v>
      </c>
      <c r="AI216" s="49"/>
      <c r="AJ216" s="49"/>
      <c r="AK216" s="49">
        <f>Z216+Y216+X216+W216+N216+AG216+AJ216+AI216+AH216</f>
        <v>24150000</v>
      </c>
      <c r="AL216" s="49">
        <f>AK216/AD216*100</f>
        <v>74.250576479631064</v>
      </c>
      <c r="AM216" s="49"/>
      <c r="AN216" s="49"/>
      <c r="AO216" s="49"/>
      <c r="AP216" s="49"/>
      <c r="AQ216" s="49">
        <f>AK216+AM216+AN216+AO216+AP216</f>
        <v>24150000</v>
      </c>
      <c r="AR216" s="49">
        <f>AQ216/AB216*100</f>
        <v>74.250576479631064</v>
      </c>
      <c r="AS216" s="49">
        <f>AB216-AQ216</f>
        <v>8375000</v>
      </c>
      <c r="AT216" s="49">
        <v>3091500</v>
      </c>
      <c r="AU216" s="49">
        <f>AT216+U216</f>
        <v>35616500</v>
      </c>
      <c r="AV216" s="49">
        <f>AK216</f>
        <v>24150000</v>
      </c>
      <c r="AW216" s="72">
        <f>AV216/AU216*100</f>
        <v>67.805651874833302</v>
      </c>
      <c r="AX216" s="49">
        <f>AU216-AV216</f>
        <v>11466500</v>
      </c>
      <c r="AY216" s="49">
        <f>AS216/AB216*100</f>
        <v>25.749423520368946</v>
      </c>
      <c r="AZ216" s="73">
        <f t="shared" si="70"/>
        <v>24150000</v>
      </c>
    </row>
    <row r="217" spans="1:56" ht="20.100000000000001" customHeight="1">
      <c r="A217" s="68"/>
      <c r="B217" s="69"/>
      <c r="C217" s="240" t="s">
        <v>399</v>
      </c>
      <c r="D217" s="240"/>
      <c r="E217" s="241"/>
      <c r="F217" s="70"/>
      <c r="G217" s="71"/>
      <c r="H217" s="71"/>
      <c r="I217" s="240" t="s">
        <v>157</v>
      </c>
      <c r="J217" s="240"/>
      <c r="K217" s="241"/>
      <c r="L217" s="49"/>
      <c r="M217" s="49"/>
      <c r="N217" s="49"/>
      <c r="O217" s="49"/>
      <c r="P217" s="49"/>
      <c r="Q217" s="49"/>
      <c r="R217" s="72"/>
      <c r="S217" s="49"/>
      <c r="T217" s="49"/>
      <c r="U217" s="49"/>
      <c r="V217" s="49"/>
      <c r="W217" s="49"/>
      <c r="X217" s="49"/>
      <c r="Y217" s="49"/>
      <c r="Z217" s="49"/>
      <c r="AA217" s="49"/>
      <c r="AB217" s="49"/>
      <c r="AC217" s="49">
        <f t="shared" si="72"/>
        <v>0</v>
      </c>
      <c r="AD217" s="49"/>
      <c r="AE217" s="49"/>
      <c r="AF217" s="49"/>
      <c r="AG217" s="49"/>
      <c r="AH217" s="49"/>
      <c r="AI217" s="49"/>
      <c r="AJ217" s="49"/>
      <c r="AK217" s="49"/>
      <c r="AL217" s="49"/>
      <c r="AM217" s="49"/>
      <c r="AN217" s="49"/>
      <c r="AO217" s="49"/>
      <c r="AP217" s="49"/>
      <c r="AQ217" s="49"/>
      <c r="AR217" s="49"/>
      <c r="AS217" s="49"/>
      <c r="AT217" s="49"/>
      <c r="AU217" s="49"/>
      <c r="AV217" s="49"/>
      <c r="AW217" s="49"/>
      <c r="AX217" s="49"/>
      <c r="AY217" s="49"/>
      <c r="AZ217" s="73">
        <f t="shared" si="70"/>
        <v>0</v>
      </c>
    </row>
    <row r="218" spans="1:56" ht="20.100000000000001" customHeight="1">
      <c r="A218" s="68"/>
      <c r="B218" s="69"/>
      <c r="C218" s="240" t="s">
        <v>400</v>
      </c>
      <c r="D218" s="240"/>
      <c r="E218" s="241"/>
      <c r="F218" s="70"/>
      <c r="G218" s="71"/>
      <c r="H218" s="71"/>
      <c r="I218" s="71"/>
      <c r="J218" s="240" t="s">
        <v>159</v>
      </c>
      <c r="K218" s="241"/>
      <c r="L218" s="49">
        <v>14400000</v>
      </c>
      <c r="M218" s="49">
        <v>0</v>
      </c>
      <c r="N218" s="49"/>
      <c r="O218" s="49"/>
      <c r="P218" s="49"/>
      <c r="Q218" s="49">
        <f>SUM(N218:P218)</f>
        <v>0</v>
      </c>
      <c r="R218" s="72"/>
      <c r="S218" s="49">
        <f>M218-Q218</f>
        <v>0</v>
      </c>
      <c r="T218" s="49">
        <v>14400000</v>
      </c>
      <c r="U218" s="49">
        <f>T218+M218</f>
        <v>14400000</v>
      </c>
      <c r="V218" s="49">
        <f>T218+S218</f>
        <v>14400000</v>
      </c>
      <c r="W218" s="49"/>
      <c r="X218" s="49"/>
      <c r="Y218" s="49"/>
      <c r="Z218" s="49"/>
      <c r="AA218" s="49">
        <v>0</v>
      </c>
      <c r="AB218" s="49">
        <v>14400000</v>
      </c>
      <c r="AC218" s="49">
        <f t="shared" si="72"/>
        <v>0</v>
      </c>
      <c r="AD218" s="49">
        <f>AA218+T218+M218</f>
        <v>14400000</v>
      </c>
      <c r="AE218" s="49"/>
      <c r="AF218" s="49"/>
      <c r="AG218" s="49"/>
      <c r="AH218" s="49">
        <f>AG218+W218+P218</f>
        <v>0</v>
      </c>
      <c r="AI218" s="49"/>
      <c r="AJ218" s="49"/>
      <c r="AK218" s="49">
        <f>Z218+Y218+X218+W218+N218+AG218+AJ218+AI218+AH218</f>
        <v>0</v>
      </c>
      <c r="AL218" s="49">
        <f>AK218/AD218*100</f>
        <v>0</v>
      </c>
      <c r="AM218" s="48"/>
      <c r="AN218" s="49"/>
      <c r="AO218" s="49"/>
      <c r="AP218" s="49"/>
      <c r="AQ218" s="49">
        <f>AK218+AM218+AN218+AO218+AP218</f>
        <v>0</v>
      </c>
      <c r="AR218" s="49">
        <f>AQ218/AB218*100</f>
        <v>0</v>
      </c>
      <c r="AS218" s="49">
        <f>AB218-AQ218</f>
        <v>14400000</v>
      </c>
      <c r="AT218" s="49">
        <v>3091500</v>
      </c>
      <c r="AU218" s="49">
        <f>AT218+U218</f>
        <v>17491500</v>
      </c>
      <c r="AV218" s="49">
        <f>AK218</f>
        <v>0</v>
      </c>
      <c r="AW218" s="72">
        <f>AV218/AU218*100</f>
        <v>0</v>
      </c>
      <c r="AX218" s="49">
        <f>AU218-AV218</f>
        <v>17491500</v>
      </c>
      <c r="AY218" s="49">
        <f>AS218/AB218*100</f>
        <v>100</v>
      </c>
      <c r="AZ218" s="73">
        <f t="shared" si="70"/>
        <v>0</v>
      </c>
      <c r="BB218" s="29">
        <f>AS218</f>
        <v>14400000</v>
      </c>
    </row>
    <row r="219" spans="1:56" ht="20.100000000000001" customHeight="1">
      <c r="A219" s="68"/>
      <c r="B219" s="69"/>
      <c r="C219" s="240" t="s">
        <v>401</v>
      </c>
      <c r="D219" s="240"/>
      <c r="E219" s="241"/>
      <c r="F219" s="70"/>
      <c r="G219" s="71"/>
      <c r="H219" s="71"/>
      <c r="I219" s="240" t="s">
        <v>402</v>
      </c>
      <c r="J219" s="240"/>
      <c r="K219" s="241"/>
      <c r="L219" s="49"/>
      <c r="M219" s="49"/>
      <c r="N219" s="49"/>
      <c r="O219" s="49"/>
      <c r="P219" s="49"/>
      <c r="Q219" s="49"/>
      <c r="R219" s="72"/>
      <c r="S219" s="49"/>
      <c r="T219" s="49"/>
      <c r="U219" s="49"/>
      <c r="V219" s="49"/>
      <c r="W219" s="49"/>
      <c r="X219" s="49"/>
      <c r="Y219" s="49"/>
      <c r="Z219" s="49"/>
      <c r="AA219" s="49"/>
      <c r="AB219" s="49"/>
      <c r="AC219" s="49">
        <f t="shared" si="72"/>
        <v>0</v>
      </c>
      <c r="AD219" s="49"/>
      <c r="AE219" s="49"/>
      <c r="AF219" s="49"/>
      <c r="AG219" s="49"/>
      <c r="AH219" s="49"/>
      <c r="AI219" s="49"/>
      <c r="AJ219" s="49"/>
      <c r="AK219" s="49"/>
      <c r="AL219" s="49"/>
      <c r="AM219" s="49"/>
      <c r="AN219" s="49"/>
      <c r="AO219" s="49"/>
      <c r="AP219" s="49"/>
      <c r="AQ219" s="49"/>
      <c r="AR219" s="49"/>
      <c r="AS219" s="49"/>
      <c r="AT219" s="49"/>
      <c r="AU219" s="49"/>
      <c r="AV219" s="49"/>
      <c r="AW219" s="49"/>
      <c r="AX219" s="49"/>
      <c r="AY219" s="49"/>
      <c r="AZ219" s="73">
        <f t="shared" si="70"/>
        <v>0</v>
      </c>
    </row>
    <row r="220" spans="1:56" ht="20.100000000000001" customHeight="1">
      <c r="A220" s="68"/>
      <c r="B220" s="69"/>
      <c r="C220" s="240" t="s">
        <v>403</v>
      </c>
      <c r="D220" s="240"/>
      <c r="E220" s="241"/>
      <c r="F220" s="70"/>
      <c r="G220" s="71"/>
      <c r="H220" s="71"/>
      <c r="I220" s="71"/>
      <c r="J220" s="240" t="s">
        <v>404</v>
      </c>
      <c r="K220" s="241"/>
      <c r="L220" s="49">
        <v>18000000</v>
      </c>
      <c r="M220" s="49">
        <v>0</v>
      </c>
      <c r="N220" s="49"/>
      <c r="O220" s="49"/>
      <c r="P220" s="49"/>
      <c r="Q220" s="49">
        <f>SUM(N220:P220)</f>
        <v>0</v>
      </c>
      <c r="R220" s="72"/>
      <c r="S220" s="49">
        <f>M220-Q220</f>
        <v>0</v>
      </c>
      <c r="T220" s="49">
        <v>18000000</v>
      </c>
      <c r="U220" s="49">
        <f>T220+M220</f>
        <v>18000000</v>
      </c>
      <c r="V220" s="49">
        <f>T220+S220</f>
        <v>18000000</v>
      </c>
      <c r="W220" s="49"/>
      <c r="X220" s="49"/>
      <c r="Y220" s="49"/>
      <c r="Z220" s="49"/>
      <c r="AA220" s="49">
        <v>0</v>
      </c>
      <c r="AB220" s="49">
        <v>18000000</v>
      </c>
      <c r="AC220" s="49">
        <f t="shared" si="72"/>
        <v>0</v>
      </c>
      <c r="AD220" s="49">
        <f>AA220+T220+M220</f>
        <v>18000000</v>
      </c>
      <c r="AE220" s="49"/>
      <c r="AF220" s="49"/>
      <c r="AG220" s="49"/>
      <c r="AH220" s="49">
        <v>18000000</v>
      </c>
      <c r="AI220" s="49"/>
      <c r="AJ220" s="49"/>
      <c r="AK220" s="49">
        <f>Z220+Y220+X220+W220+N220+AG220+AJ220+AI220+AH220</f>
        <v>18000000</v>
      </c>
      <c r="AL220" s="49">
        <f>AK220/AD220*100</f>
        <v>100</v>
      </c>
      <c r="AM220" s="49"/>
      <c r="AN220" s="49"/>
      <c r="AO220" s="49"/>
      <c r="AP220" s="49"/>
      <c r="AQ220" s="49">
        <f>AK220+AM220+AN220+AO220+AP220</f>
        <v>18000000</v>
      </c>
      <c r="AR220" s="49">
        <f>AQ220/AB220*100</f>
        <v>100</v>
      </c>
      <c r="AS220" s="49">
        <f>AB220-AQ220</f>
        <v>0</v>
      </c>
      <c r="AT220" s="49">
        <v>3091500</v>
      </c>
      <c r="AU220" s="49">
        <f>AT220+U220</f>
        <v>21091500</v>
      </c>
      <c r="AV220" s="49">
        <f>AK220</f>
        <v>18000000</v>
      </c>
      <c r="AW220" s="72">
        <f>AV220/AU220*100</f>
        <v>85.342436526562835</v>
      </c>
      <c r="AX220" s="49">
        <f>AU220-AV220</f>
        <v>3091500</v>
      </c>
      <c r="AY220" s="49">
        <f>AS220/AB220*100</f>
        <v>0</v>
      </c>
      <c r="AZ220" s="73">
        <f t="shared" si="70"/>
        <v>18000000</v>
      </c>
    </row>
    <row r="221" spans="1:56" ht="20.100000000000001" customHeight="1">
      <c r="A221" s="62">
        <v>17</v>
      </c>
      <c r="B221" s="63"/>
      <c r="C221" s="242" t="s">
        <v>405</v>
      </c>
      <c r="D221" s="242"/>
      <c r="E221" s="243"/>
      <c r="F221" s="64"/>
      <c r="G221" s="244" t="s">
        <v>406</v>
      </c>
      <c r="H221" s="244"/>
      <c r="I221" s="244"/>
      <c r="J221" s="244"/>
      <c r="K221" s="245"/>
      <c r="L221" s="65">
        <f>L224</f>
        <v>500000000</v>
      </c>
      <c r="M221" s="65">
        <f>M224</f>
        <v>0</v>
      </c>
      <c r="N221" s="65">
        <f>N224</f>
        <v>0</v>
      </c>
      <c r="O221" s="65">
        <f>O224</f>
        <v>0</v>
      </c>
      <c r="P221" s="65">
        <f>P224</f>
        <v>0</v>
      </c>
      <c r="Q221" s="65">
        <f>SUM(N221:P221)</f>
        <v>0</v>
      </c>
      <c r="R221" s="66"/>
      <c r="S221" s="65">
        <f>M221-Q221</f>
        <v>0</v>
      </c>
      <c r="T221" s="65">
        <f>T224</f>
        <v>0</v>
      </c>
      <c r="U221" s="65">
        <f>T221+M221</f>
        <v>0</v>
      </c>
      <c r="V221" s="65">
        <f>T221+S221</f>
        <v>0</v>
      </c>
      <c r="W221" s="65">
        <f>W224</f>
        <v>0</v>
      </c>
      <c r="X221" s="65">
        <f>X224</f>
        <v>0</v>
      </c>
      <c r="Y221" s="65">
        <f>Y224</f>
        <v>0</v>
      </c>
      <c r="Z221" s="65"/>
      <c r="AA221" s="65">
        <f>AA224</f>
        <v>22000000</v>
      </c>
      <c r="AB221" s="65">
        <f>AB224</f>
        <v>500000000</v>
      </c>
      <c r="AC221" s="65">
        <f t="shared" si="72"/>
        <v>0</v>
      </c>
      <c r="AD221" s="65">
        <f>AA221+T221+M221</f>
        <v>22000000</v>
      </c>
      <c r="AE221" s="65">
        <f t="shared" ref="AE221:AK221" si="76">AE224</f>
        <v>0</v>
      </c>
      <c r="AF221" s="65">
        <f t="shared" si="76"/>
        <v>21978000</v>
      </c>
      <c r="AG221" s="65">
        <f t="shared" si="76"/>
        <v>0</v>
      </c>
      <c r="AH221" s="65">
        <f t="shared" si="76"/>
        <v>0</v>
      </c>
      <c r="AI221" s="65">
        <f t="shared" si="76"/>
        <v>0</v>
      </c>
      <c r="AJ221" s="65">
        <f t="shared" si="76"/>
        <v>0</v>
      </c>
      <c r="AK221" s="65">
        <f t="shared" si="76"/>
        <v>21978000</v>
      </c>
      <c r="AL221" s="65">
        <f>AK221/AB221*100</f>
        <v>4.3956</v>
      </c>
      <c r="AM221" s="65">
        <f>AM224</f>
        <v>478000000</v>
      </c>
      <c r="AN221" s="65">
        <f>AN224</f>
        <v>0</v>
      </c>
      <c r="AO221" s="65">
        <f>AO224</f>
        <v>0</v>
      </c>
      <c r="AP221" s="65">
        <f>AP224</f>
        <v>0</v>
      </c>
      <c r="AQ221" s="65">
        <f>AK221+AM221+AN221+AO221+AP221</f>
        <v>499978000</v>
      </c>
      <c r="AR221" s="65">
        <f>AQ221/AB221*100</f>
        <v>99.995599999999996</v>
      </c>
      <c r="AS221" s="65">
        <f>AB221-AQ221</f>
        <v>22000</v>
      </c>
      <c r="AT221" s="65">
        <f>SUM(AT224:AT230)</f>
        <v>21640500</v>
      </c>
      <c r="AU221" s="65">
        <f>AT221+U221</f>
        <v>21640500</v>
      </c>
      <c r="AV221" s="65">
        <f>AK221</f>
        <v>21978000</v>
      </c>
      <c r="AW221" s="66">
        <f>AV221/AU221*100</f>
        <v>101.55957579538367</v>
      </c>
      <c r="AX221" s="65">
        <f>AU221-AV221</f>
        <v>-337500</v>
      </c>
      <c r="AY221" s="65">
        <f>AS221/AB221*100</f>
        <v>4.4000000000000003E-3</v>
      </c>
      <c r="AZ221" s="67">
        <f t="shared" si="70"/>
        <v>499978000</v>
      </c>
    </row>
    <row r="222" spans="1:56" ht="20.100000000000001" customHeight="1">
      <c r="A222" s="68"/>
      <c r="B222" s="69"/>
      <c r="C222" s="240" t="s">
        <v>407</v>
      </c>
      <c r="D222" s="240"/>
      <c r="E222" s="241"/>
      <c r="F222" s="70"/>
      <c r="G222" s="71"/>
      <c r="H222" s="240" t="s">
        <v>270</v>
      </c>
      <c r="I222" s="240"/>
      <c r="J222" s="240"/>
      <c r="K222" s="241"/>
      <c r="L222" s="49"/>
      <c r="M222" s="49"/>
      <c r="N222" s="49"/>
      <c r="O222" s="49"/>
      <c r="P222" s="49"/>
      <c r="Q222" s="49"/>
      <c r="R222" s="72"/>
      <c r="S222" s="49"/>
      <c r="T222" s="49"/>
      <c r="U222" s="49"/>
      <c r="V222" s="49"/>
      <c r="W222" s="49"/>
      <c r="X222" s="49"/>
      <c r="Y222" s="49"/>
      <c r="Z222" s="49"/>
      <c r="AA222" s="49"/>
      <c r="AB222" s="49"/>
      <c r="AC222" s="49">
        <f t="shared" si="72"/>
        <v>0</v>
      </c>
      <c r="AD222" s="49"/>
      <c r="AE222" s="49"/>
      <c r="AF222" s="49"/>
      <c r="AG222" s="49"/>
      <c r="AH222" s="49"/>
      <c r="AI222" s="49"/>
      <c r="AJ222" s="49"/>
      <c r="AK222" s="49"/>
      <c r="AL222" s="49"/>
      <c r="AM222" s="49"/>
      <c r="AN222" s="49"/>
      <c r="AO222" s="49"/>
      <c r="AP222" s="49"/>
      <c r="AQ222" s="49"/>
      <c r="AR222" s="49"/>
      <c r="AS222" s="49"/>
      <c r="AT222" s="49"/>
      <c r="AU222" s="49"/>
      <c r="AV222" s="49"/>
      <c r="AW222" s="49"/>
      <c r="AX222" s="49"/>
      <c r="AY222" s="49"/>
      <c r="AZ222" s="73">
        <f t="shared" si="70"/>
        <v>0</v>
      </c>
      <c r="BA222" s="73"/>
      <c r="BB222" s="73"/>
      <c r="BC222" s="73"/>
      <c r="BD222" s="73"/>
    </row>
    <row r="223" spans="1:56" ht="20.100000000000001" customHeight="1">
      <c r="A223" s="68"/>
      <c r="B223" s="69"/>
      <c r="C223" s="240" t="s">
        <v>408</v>
      </c>
      <c r="D223" s="240"/>
      <c r="E223" s="241"/>
      <c r="F223" s="70"/>
      <c r="G223" s="71"/>
      <c r="H223" s="71"/>
      <c r="I223" s="240" t="s">
        <v>272</v>
      </c>
      <c r="J223" s="240"/>
      <c r="K223" s="241"/>
      <c r="L223" s="49"/>
      <c r="M223" s="49"/>
      <c r="N223" s="49"/>
      <c r="O223" s="49"/>
      <c r="P223" s="49"/>
      <c r="Q223" s="49"/>
      <c r="R223" s="72"/>
      <c r="S223" s="49"/>
      <c r="T223" s="49"/>
      <c r="U223" s="49"/>
      <c r="V223" s="49"/>
      <c r="W223" s="49"/>
      <c r="X223" s="49"/>
      <c r="Y223" s="49"/>
      <c r="Z223" s="49"/>
      <c r="AA223" s="49"/>
      <c r="AB223" s="49"/>
      <c r="AC223" s="49">
        <f t="shared" si="72"/>
        <v>0</v>
      </c>
      <c r="AD223" s="49"/>
      <c r="AE223" s="49"/>
      <c r="AF223" s="49"/>
      <c r="AG223" s="49"/>
      <c r="AH223" s="49"/>
      <c r="AI223" s="49"/>
      <c r="AJ223" s="49"/>
      <c r="AK223" s="49"/>
      <c r="AL223" s="49"/>
      <c r="AM223" s="49"/>
      <c r="AN223" s="49"/>
      <c r="AO223" s="49"/>
      <c r="AP223" s="49"/>
      <c r="AQ223" s="49"/>
      <c r="AR223" s="49"/>
      <c r="AS223" s="49"/>
      <c r="AT223" s="49"/>
      <c r="AU223" s="49"/>
      <c r="AV223" s="49"/>
      <c r="AW223" s="49"/>
      <c r="AX223" s="49"/>
      <c r="AY223" s="49"/>
      <c r="AZ223" s="73">
        <f t="shared" si="70"/>
        <v>0</v>
      </c>
      <c r="BA223" s="73"/>
      <c r="BB223" s="73"/>
      <c r="BC223" s="73"/>
      <c r="BD223" s="73"/>
    </row>
    <row r="224" spans="1:56" ht="20.100000000000001" customHeight="1">
      <c r="A224" s="68"/>
      <c r="B224" s="69"/>
      <c r="C224" s="240" t="s">
        <v>409</v>
      </c>
      <c r="D224" s="240"/>
      <c r="E224" s="241"/>
      <c r="F224" s="70"/>
      <c r="G224" s="71"/>
      <c r="H224" s="71"/>
      <c r="I224" s="71"/>
      <c r="J224" s="240" t="s">
        <v>274</v>
      </c>
      <c r="K224" s="241"/>
      <c r="L224" s="49">
        <v>500000000</v>
      </c>
      <c r="M224" s="49">
        <v>0</v>
      </c>
      <c r="N224" s="49"/>
      <c r="O224" s="49"/>
      <c r="P224" s="49"/>
      <c r="Q224" s="49">
        <f>SUM(N224:P224)</f>
        <v>0</v>
      </c>
      <c r="R224" s="72"/>
      <c r="S224" s="49">
        <f>M224-Q224</f>
        <v>0</v>
      </c>
      <c r="T224" s="49">
        <v>0</v>
      </c>
      <c r="U224" s="49">
        <f>T224+M224</f>
        <v>0</v>
      </c>
      <c r="V224" s="49">
        <f>T224+S224</f>
        <v>0</v>
      </c>
      <c r="W224" s="49"/>
      <c r="X224" s="49"/>
      <c r="Y224" s="49"/>
      <c r="Z224" s="49"/>
      <c r="AA224" s="49">
        <v>22000000</v>
      </c>
      <c r="AB224" s="49">
        <v>500000000</v>
      </c>
      <c r="AC224" s="49">
        <f t="shared" si="72"/>
        <v>0</v>
      </c>
      <c r="AD224" s="49">
        <f>AA224+T224+M224</f>
        <v>22000000</v>
      </c>
      <c r="AE224" s="49"/>
      <c r="AF224" s="49">
        <v>21978000</v>
      </c>
      <c r="AG224" s="49"/>
      <c r="AH224" s="49"/>
      <c r="AI224" s="49"/>
      <c r="AJ224" s="49"/>
      <c r="AK224" s="49">
        <f>Z224+Y224+X224+W224+N224+AG224+AF224</f>
        <v>21978000</v>
      </c>
      <c r="AL224" s="49">
        <f>AK224/AD224*100</f>
        <v>99.9</v>
      </c>
      <c r="AM224" s="48">
        <v>478000000</v>
      </c>
      <c r="AN224" s="49">
        <v>0</v>
      </c>
      <c r="AO224" s="49">
        <v>0</v>
      </c>
      <c r="AP224" s="49">
        <v>0</v>
      </c>
      <c r="AQ224" s="49">
        <f>AK224+AM224+AN224+AO224+AP224</f>
        <v>499978000</v>
      </c>
      <c r="AR224" s="49">
        <f>AQ224/AB224*100</f>
        <v>99.995599999999996</v>
      </c>
      <c r="AS224" s="49">
        <f>AB224-AQ224</f>
        <v>22000</v>
      </c>
      <c r="AT224" s="49">
        <v>3091500</v>
      </c>
      <c r="AU224" s="49">
        <f>AT224+U224</f>
        <v>3091500</v>
      </c>
      <c r="AV224" s="49">
        <f>AK224</f>
        <v>21978000</v>
      </c>
      <c r="AW224" s="72">
        <f>AV224/AU224*100</f>
        <v>710.91703056768563</v>
      </c>
      <c r="AX224" s="49">
        <f>AU224-AV224</f>
        <v>-18886500</v>
      </c>
      <c r="AY224" s="49">
        <f>AS224/AB224*100</f>
        <v>4.4000000000000003E-3</v>
      </c>
      <c r="AZ224" s="73">
        <f t="shared" si="70"/>
        <v>499978000</v>
      </c>
      <c r="BA224" s="73"/>
      <c r="BB224" s="73">
        <f>AS224</f>
        <v>22000</v>
      </c>
      <c r="BC224" s="73"/>
      <c r="BD224" s="73"/>
    </row>
    <row r="225" spans="1:53" ht="20.100000000000001" customHeight="1">
      <c r="A225" s="62">
        <v>18</v>
      </c>
      <c r="B225" s="63"/>
      <c r="C225" s="242" t="s">
        <v>410</v>
      </c>
      <c r="D225" s="242"/>
      <c r="E225" s="243"/>
      <c r="F225" s="64"/>
      <c r="G225" s="244" t="s">
        <v>411</v>
      </c>
      <c r="H225" s="244"/>
      <c r="I225" s="244"/>
      <c r="J225" s="244"/>
      <c r="K225" s="245"/>
      <c r="L225" s="65">
        <f>SUM(L228:L247)</f>
        <v>318000000</v>
      </c>
      <c r="M225" s="65">
        <f>SUM(M228:M247)</f>
        <v>0</v>
      </c>
      <c r="N225" s="65">
        <f>SUM(N228:N247)</f>
        <v>0</v>
      </c>
      <c r="O225" s="65">
        <f>SUM(O228:O247)</f>
        <v>0</v>
      </c>
      <c r="P225" s="65">
        <f>SUM(P228:P247)</f>
        <v>0</v>
      </c>
      <c r="Q225" s="65">
        <f>SUM(N225:P225)</f>
        <v>0</v>
      </c>
      <c r="R225" s="66"/>
      <c r="S225" s="65">
        <f>M225-Q225</f>
        <v>0</v>
      </c>
      <c r="T225" s="65">
        <f>SUM(T228:T247)</f>
        <v>0</v>
      </c>
      <c r="U225" s="65">
        <f>T225+M225</f>
        <v>0</v>
      </c>
      <c r="V225" s="65">
        <f>T225+S225</f>
        <v>0</v>
      </c>
      <c r="W225" s="65">
        <f>SUM(W228:W247)</f>
        <v>0</v>
      </c>
      <c r="X225" s="65">
        <f>SUM(X228:X247)</f>
        <v>0</v>
      </c>
      <c r="Y225" s="65">
        <f>SUM(Y228:Y247)</f>
        <v>0</v>
      </c>
      <c r="Z225" s="65"/>
      <c r="AA225" s="65">
        <f>SUM(AA228:AA247)</f>
        <v>305860000</v>
      </c>
      <c r="AB225" s="65">
        <f>SUM(AB228:AB247)</f>
        <v>318000000</v>
      </c>
      <c r="AC225" s="65">
        <f t="shared" si="72"/>
        <v>0</v>
      </c>
      <c r="AD225" s="65">
        <f>AA225+T225+M225</f>
        <v>305860000</v>
      </c>
      <c r="AE225" s="65">
        <f t="shared" ref="AE225:AK225" si="77">SUM(AE228:AE247)</f>
        <v>0</v>
      </c>
      <c r="AF225" s="65">
        <f t="shared" si="77"/>
        <v>88139400</v>
      </c>
      <c r="AG225" s="65">
        <f t="shared" si="77"/>
        <v>0</v>
      </c>
      <c r="AH225" s="65">
        <f t="shared" si="77"/>
        <v>189422200</v>
      </c>
      <c r="AI225" s="65">
        <f t="shared" si="77"/>
        <v>0</v>
      </c>
      <c r="AJ225" s="65">
        <f t="shared" si="77"/>
        <v>0</v>
      </c>
      <c r="AK225" s="65">
        <f t="shared" si="77"/>
        <v>277561600</v>
      </c>
      <c r="AL225" s="65">
        <f>AK225/AB225*100</f>
        <v>87.283522012578615</v>
      </c>
      <c r="AM225" s="65">
        <f>SUM(AM228:AM247)</f>
        <v>0</v>
      </c>
      <c r="AN225" s="65">
        <f>SUM(AN228:AN247)</f>
        <v>0</v>
      </c>
      <c r="AO225" s="42">
        <f>SUM(AO228:AO247)</f>
        <v>16575250</v>
      </c>
      <c r="AP225" s="65">
        <f>SUM(AP228:AP247)</f>
        <v>0</v>
      </c>
      <c r="AQ225" s="65">
        <f>AK225+AM225+AN225+AO225+AP225</f>
        <v>294136850</v>
      </c>
      <c r="AR225" s="65">
        <f>AQ225/AB225*100</f>
        <v>92.495864779874211</v>
      </c>
      <c r="AS225" s="65">
        <f>AB225-AQ225</f>
        <v>23863150</v>
      </c>
      <c r="AT225" s="65">
        <f>SUM(AT228:AT234)</f>
        <v>12366000</v>
      </c>
      <c r="AU225" s="65">
        <f>AT225+U225</f>
        <v>12366000</v>
      </c>
      <c r="AV225" s="65">
        <f>AK225</f>
        <v>277561600</v>
      </c>
      <c r="AW225" s="66">
        <f>AV225/AU225*100</f>
        <v>2244.554423419052</v>
      </c>
      <c r="AX225" s="65">
        <f>AU225-AV225</f>
        <v>-265195600</v>
      </c>
      <c r="AY225" s="65">
        <f>AS225/AB225*100</f>
        <v>7.5041352201257867</v>
      </c>
      <c r="AZ225" s="67">
        <f t="shared" si="70"/>
        <v>277561600</v>
      </c>
      <c r="BA225" s="29">
        <f>AS225</f>
        <v>23863150</v>
      </c>
    </row>
    <row r="226" spans="1:53" ht="20.100000000000001" customHeight="1">
      <c r="A226" s="68"/>
      <c r="B226" s="69"/>
      <c r="C226" s="240" t="s">
        <v>412</v>
      </c>
      <c r="D226" s="240"/>
      <c r="E226" s="241"/>
      <c r="F226" s="70"/>
      <c r="G226" s="71"/>
      <c r="H226" s="240" t="s">
        <v>10</v>
      </c>
      <c r="I226" s="240"/>
      <c r="J226" s="240"/>
      <c r="K226" s="241"/>
      <c r="L226" s="49"/>
      <c r="M226" s="49"/>
      <c r="N226" s="49"/>
      <c r="O226" s="49"/>
      <c r="P226" s="49"/>
      <c r="Q226" s="49"/>
      <c r="R226" s="72"/>
      <c r="S226" s="49"/>
      <c r="T226" s="49"/>
      <c r="U226" s="49"/>
      <c r="V226" s="49"/>
      <c r="W226" s="49"/>
      <c r="X226" s="49"/>
      <c r="Y226" s="49"/>
      <c r="Z226" s="49"/>
      <c r="AA226" s="49"/>
      <c r="AB226" s="49"/>
      <c r="AC226" s="49">
        <f t="shared" si="72"/>
        <v>0</v>
      </c>
      <c r="AD226" s="49"/>
      <c r="AE226" s="49"/>
      <c r="AF226" s="49"/>
      <c r="AG226" s="49"/>
      <c r="AH226" s="49"/>
      <c r="AI226" s="49"/>
      <c r="AJ226" s="49"/>
      <c r="AK226" s="49"/>
      <c r="AL226" s="49"/>
      <c r="AM226" s="49"/>
      <c r="AN226" s="49">
        <f>40438400-AO225</f>
        <v>23863150</v>
      </c>
      <c r="AO226" s="49"/>
      <c r="AP226" s="49"/>
      <c r="AQ226" s="49"/>
      <c r="AR226" s="49"/>
      <c r="AS226" s="49"/>
      <c r="AT226" s="49"/>
      <c r="AU226" s="49"/>
      <c r="AV226" s="49"/>
      <c r="AW226" s="49"/>
      <c r="AX226" s="49"/>
      <c r="AY226" s="49"/>
      <c r="AZ226" s="73">
        <f t="shared" si="70"/>
        <v>0</v>
      </c>
      <c r="BA226" s="73"/>
    </row>
    <row r="227" spans="1:53" ht="20.100000000000001" customHeight="1">
      <c r="A227" s="68"/>
      <c r="B227" s="69"/>
      <c r="C227" s="240" t="s">
        <v>413</v>
      </c>
      <c r="D227" s="240"/>
      <c r="E227" s="241"/>
      <c r="F227" s="70"/>
      <c r="G227" s="71"/>
      <c r="H227" s="71"/>
      <c r="I227" s="240" t="s">
        <v>177</v>
      </c>
      <c r="J227" s="240"/>
      <c r="K227" s="241"/>
      <c r="L227" s="49"/>
      <c r="M227" s="49"/>
      <c r="N227" s="49"/>
      <c r="O227" s="49"/>
      <c r="P227" s="49"/>
      <c r="Q227" s="49"/>
      <c r="R227" s="72"/>
      <c r="S227" s="49"/>
      <c r="T227" s="49"/>
      <c r="U227" s="49"/>
      <c r="V227" s="49"/>
      <c r="W227" s="49"/>
      <c r="X227" s="49"/>
      <c r="Y227" s="49"/>
      <c r="Z227" s="49"/>
      <c r="AA227" s="49"/>
      <c r="AB227" s="49"/>
      <c r="AC227" s="49">
        <f t="shared" si="72"/>
        <v>0</v>
      </c>
      <c r="AD227" s="49"/>
      <c r="AE227" s="49"/>
      <c r="AF227" s="49"/>
      <c r="AG227" s="49"/>
      <c r="AH227" s="49"/>
      <c r="AI227" s="49"/>
      <c r="AJ227" s="49"/>
      <c r="AK227" s="49"/>
      <c r="AL227" s="49"/>
      <c r="AM227" s="49"/>
      <c r="AN227" s="49"/>
      <c r="AO227" s="49"/>
      <c r="AP227" s="49"/>
      <c r="AQ227" s="49"/>
      <c r="AR227" s="49"/>
      <c r="AS227" s="49"/>
      <c r="AT227" s="49"/>
      <c r="AU227" s="49"/>
      <c r="AV227" s="49"/>
      <c r="AW227" s="49"/>
      <c r="AX227" s="49"/>
      <c r="AY227" s="49"/>
      <c r="AZ227" s="73">
        <f t="shared" si="70"/>
        <v>0</v>
      </c>
      <c r="BA227" s="73"/>
    </row>
    <row r="228" spans="1:53" ht="20.100000000000001" customHeight="1">
      <c r="A228" s="68"/>
      <c r="B228" s="69"/>
      <c r="C228" s="240" t="s">
        <v>414</v>
      </c>
      <c r="D228" s="240"/>
      <c r="E228" s="241"/>
      <c r="F228" s="70"/>
      <c r="G228" s="71"/>
      <c r="H228" s="71"/>
      <c r="I228" s="71"/>
      <c r="J228" s="240" t="s">
        <v>283</v>
      </c>
      <c r="K228" s="241"/>
      <c r="L228" s="49">
        <v>6450000</v>
      </c>
      <c r="M228" s="49">
        <v>0</v>
      </c>
      <c r="N228" s="49"/>
      <c r="O228" s="49"/>
      <c r="P228" s="49"/>
      <c r="Q228" s="49">
        <f>SUM(N228:P228)</f>
        <v>0</v>
      </c>
      <c r="R228" s="72"/>
      <c r="S228" s="49">
        <f>M228-Q228</f>
        <v>0</v>
      </c>
      <c r="T228" s="49">
        <v>0</v>
      </c>
      <c r="U228" s="49">
        <f>T228+M228</f>
        <v>0</v>
      </c>
      <c r="V228" s="49">
        <f>T228+S228</f>
        <v>0</v>
      </c>
      <c r="W228" s="49"/>
      <c r="X228" s="49"/>
      <c r="Y228" s="49"/>
      <c r="Z228" s="49"/>
      <c r="AA228" s="49">
        <v>6450000</v>
      </c>
      <c r="AB228" s="49">
        <v>6450000</v>
      </c>
      <c r="AC228" s="49">
        <f t="shared" si="72"/>
        <v>0</v>
      </c>
      <c r="AD228" s="49">
        <f>AA228+T228+M228</f>
        <v>6450000</v>
      </c>
      <c r="AE228" s="49"/>
      <c r="AF228" s="49"/>
      <c r="AG228" s="49"/>
      <c r="AH228" s="49">
        <v>6450000</v>
      </c>
      <c r="AI228" s="49"/>
      <c r="AJ228" s="49"/>
      <c r="AK228" s="49">
        <f>Z228+Y228+X228+W228+N228+AG228+AJ228+AI228+AH228</f>
        <v>6450000</v>
      </c>
      <c r="AL228" s="49">
        <f>AK228/AD228*100</f>
        <v>100</v>
      </c>
      <c r="AM228" s="49"/>
      <c r="AN228" s="49"/>
      <c r="AO228" s="49"/>
      <c r="AP228" s="49"/>
      <c r="AQ228" s="49">
        <f>AK228+AM228+AN228+AO228+AP228</f>
        <v>6450000</v>
      </c>
      <c r="AR228" s="49">
        <f>AQ228/AB228*100</f>
        <v>100</v>
      </c>
      <c r="AS228" s="49">
        <f>AB228-AQ228</f>
        <v>0</v>
      </c>
      <c r="AT228" s="49">
        <v>3091500</v>
      </c>
      <c r="AU228" s="49">
        <f>AT228+U228</f>
        <v>3091500</v>
      </c>
      <c r="AV228" s="49">
        <f>AK228</f>
        <v>6450000</v>
      </c>
      <c r="AW228" s="72">
        <f>AV228/AU228*100</f>
        <v>208.63658418243571</v>
      </c>
      <c r="AX228" s="49">
        <f>AU228-AV228</f>
        <v>-3358500</v>
      </c>
      <c r="AY228" s="49">
        <f>AS228/AB228*100</f>
        <v>0</v>
      </c>
      <c r="AZ228" s="73">
        <f t="shared" ref="AZ228:AZ291" si="78">AQ228-AO228</f>
        <v>6450000</v>
      </c>
      <c r="BA228" s="73"/>
    </row>
    <row r="229" spans="1:53" ht="20.100000000000001" customHeight="1">
      <c r="A229" s="68"/>
      <c r="B229" s="69"/>
      <c r="C229" s="240" t="s">
        <v>415</v>
      </c>
      <c r="D229" s="240"/>
      <c r="E229" s="241"/>
      <c r="F229" s="70"/>
      <c r="G229" s="71"/>
      <c r="H229" s="71"/>
      <c r="I229" s="71"/>
      <c r="J229" s="240" t="s">
        <v>384</v>
      </c>
      <c r="K229" s="241"/>
      <c r="L229" s="49">
        <v>1300000</v>
      </c>
      <c r="M229" s="49">
        <v>0</v>
      </c>
      <c r="N229" s="49"/>
      <c r="O229" s="49"/>
      <c r="P229" s="49"/>
      <c r="Q229" s="49">
        <f>SUM(N229:P229)</f>
        <v>0</v>
      </c>
      <c r="R229" s="72"/>
      <c r="S229" s="49">
        <f>M229-Q229</f>
        <v>0</v>
      </c>
      <c r="T229" s="49">
        <v>0</v>
      </c>
      <c r="U229" s="49">
        <f>T229+M229</f>
        <v>0</v>
      </c>
      <c r="V229" s="49">
        <f>T229+S229</f>
        <v>0</v>
      </c>
      <c r="W229" s="49"/>
      <c r="X229" s="49"/>
      <c r="Y229" s="49"/>
      <c r="Z229" s="49"/>
      <c r="AA229" s="49">
        <v>1300000</v>
      </c>
      <c r="AB229" s="49">
        <v>1300000</v>
      </c>
      <c r="AC229" s="49">
        <f t="shared" si="72"/>
        <v>0</v>
      </c>
      <c r="AD229" s="49">
        <f>AA229+T229+M229</f>
        <v>1300000</v>
      </c>
      <c r="AE229" s="49"/>
      <c r="AF229" s="49"/>
      <c r="AG229" s="49"/>
      <c r="AH229" s="49">
        <v>1300000</v>
      </c>
      <c r="AI229" s="49"/>
      <c r="AJ229" s="49"/>
      <c r="AK229" s="49">
        <f>Z229+Y229+X229+W229+N229+AG229+AJ229+AI229+AH229</f>
        <v>1300000</v>
      </c>
      <c r="AL229" s="49">
        <f>AK229/AD229*100</f>
        <v>100</v>
      </c>
      <c r="AM229" s="49"/>
      <c r="AN229" s="49"/>
      <c r="AO229" s="49"/>
      <c r="AP229" s="49"/>
      <c r="AQ229" s="49">
        <f>AK229+AM229+AN229+AO229+AP229</f>
        <v>1300000</v>
      </c>
      <c r="AR229" s="49">
        <f>AQ229/AB229*100</f>
        <v>100</v>
      </c>
      <c r="AS229" s="49">
        <f>AB229-AQ229</f>
        <v>0</v>
      </c>
      <c r="AT229" s="49">
        <v>3091500</v>
      </c>
      <c r="AU229" s="49">
        <f>AT229+U229</f>
        <v>3091500</v>
      </c>
      <c r="AV229" s="49">
        <f>AK229</f>
        <v>1300000</v>
      </c>
      <c r="AW229" s="72">
        <f>AV229/AU229*100</f>
        <v>42.050784408863009</v>
      </c>
      <c r="AX229" s="49">
        <f>AU229-AV229</f>
        <v>1791500</v>
      </c>
      <c r="AY229" s="49">
        <f>AS229/AB229*100</f>
        <v>0</v>
      </c>
      <c r="AZ229" s="73">
        <f t="shared" si="78"/>
        <v>1300000</v>
      </c>
      <c r="BA229" s="73"/>
    </row>
    <row r="230" spans="1:53" ht="20.100000000000001" customHeight="1">
      <c r="A230" s="68"/>
      <c r="B230" s="69"/>
      <c r="C230" s="240" t="s">
        <v>416</v>
      </c>
      <c r="D230" s="240"/>
      <c r="E230" s="241"/>
      <c r="F230" s="70"/>
      <c r="G230" s="71"/>
      <c r="H230" s="240" t="s">
        <v>143</v>
      </c>
      <c r="I230" s="240"/>
      <c r="J230" s="240"/>
      <c r="K230" s="241"/>
      <c r="L230" s="49"/>
      <c r="M230" s="49"/>
      <c r="N230" s="49"/>
      <c r="O230" s="49"/>
      <c r="P230" s="49"/>
      <c r="Q230" s="49"/>
      <c r="R230" s="72"/>
      <c r="S230" s="49"/>
      <c r="T230" s="49"/>
      <c r="U230" s="49"/>
      <c r="V230" s="49"/>
      <c r="W230" s="49"/>
      <c r="X230" s="49"/>
      <c r="Y230" s="49"/>
      <c r="Z230" s="49"/>
      <c r="AA230" s="49"/>
      <c r="AB230" s="49"/>
      <c r="AC230" s="49">
        <f t="shared" si="72"/>
        <v>0</v>
      </c>
      <c r="AD230" s="49"/>
      <c r="AE230" s="49"/>
      <c r="AF230" s="49"/>
      <c r="AG230" s="49"/>
      <c r="AH230" s="49"/>
      <c r="AI230" s="49"/>
      <c r="AJ230" s="49"/>
      <c r="AK230" s="49"/>
      <c r="AL230" s="49"/>
      <c r="AM230" s="49"/>
      <c r="AN230" s="49"/>
      <c r="AO230" s="49"/>
      <c r="AP230" s="49"/>
      <c r="AQ230" s="49"/>
      <c r="AR230" s="49"/>
      <c r="AS230" s="49"/>
      <c r="AT230" s="49"/>
      <c r="AU230" s="49"/>
      <c r="AV230" s="49"/>
      <c r="AW230" s="49"/>
      <c r="AX230" s="49"/>
      <c r="AY230" s="49"/>
      <c r="AZ230" s="73">
        <f t="shared" si="78"/>
        <v>0</v>
      </c>
      <c r="BA230" s="73"/>
    </row>
    <row r="231" spans="1:53" ht="20.100000000000001" customHeight="1">
      <c r="A231" s="68"/>
      <c r="B231" s="69"/>
      <c r="C231" s="240" t="s">
        <v>417</v>
      </c>
      <c r="D231" s="240"/>
      <c r="E231" s="241"/>
      <c r="F231" s="70"/>
      <c r="G231" s="71"/>
      <c r="H231" s="71"/>
      <c r="I231" s="240" t="s">
        <v>145</v>
      </c>
      <c r="J231" s="240"/>
      <c r="K231" s="241"/>
      <c r="L231" s="49"/>
      <c r="M231" s="49"/>
      <c r="N231" s="49"/>
      <c r="O231" s="49"/>
      <c r="P231" s="49"/>
      <c r="Q231" s="49"/>
      <c r="R231" s="72"/>
      <c r="S231" s="49"/>
      <c r="T231" s="49"/>
      <c r="U231" s="49"/>
      <c r="V231" s="49"/>
      <c r="W231" s="49"/>
      <c r="X231" s="49"/>
      <c r="Y231" s="49"/>
      <c r="Z231" s="49"/>
      <c r="AA231" s="49"/>
      <c r="AB231" s="49"/>
      <c r="AC231" s="49">
        <f t="shared" si="72"/>
        <v>0</v>
      </c>
      <c r="AD231" s="49"/>
      <c r="AE231" s="49"/>
      <c r="AF231" s="49"/>
      <c r="AG231" s="49"/>
      <c r="AH231" s="49"/>
      <c r="AI231" s="49"/>
      <c r="AJ231" s="49"/>
      <c r="AK231" s="49"/>
      <c r="AL231" s="49"/>
      <c r="AM231" s="49"/>
      <c r="AN231" s="49"/>
      <c r="AO231" s="49"/>
      <c r="AP231" s="49"/>
      <c r="AQ231" s="49"/>
      <c r="AR231" s="49"/>
      <c r="AS231" s="49"/>
      <c r="AT231" s="49"/>
      <c r="AU231" s="49"/>
      <c r="AV231" s="49"/>
      <c r="AW231" s="49"/>
      <c r="AX231" s="49"/>
      <c r="AY231" s="49"/>
      <c r="AZ231" s="73">
        <f t="shared" si="78"/>
        <v>0</v>
      </c>
      <c r="BA231" s="73"/>
    </row>
    <row r="232" spans="1:53" ht="20.100000000000001" customHeight="1">
      <c r="A232" s="68"/>
      <c r="B232" s="69"/>
      <c r="C232" s="240" t="s">
        <v>418</v>
      </c>
      <c r="D232" s="240"/>
      <c r="E232" s="241"/>
      <c r="F232" s="70"/>
      <c r="G232" s="71"/>
      <c r="H232" s="71"/>
      <c r="I232" s="71"/>
      <c r="J232" s="240" t="s">
        <v>147</v>
      </c>
      <c r="K232" s="241"/>
      <c r="L232" s="49">
        <v>5917200</v>
      </c>
      <c r="M232" s="49">
        <v>0</v>
      </c>
      <c r="N232" s="49"/>
      <c r="O232" s="49"/>
      <c r="P232" s="49"/>
      <c r="Q232" s="49">
        <f>SUM(N232:P232)</f>
        <v>0</v>
      </c>
      <c r="R232" s="72"/>
      <c r="S232" s="49">
        <f>M232-Q232</f>
        <v>0</v>
      </c>
      <c r="T232" s="49">
        <v>0</v>
      </c>
      <c r="U232" s="49">
        <f>T232+M232</f>
        <v>0</v>
      </c>
      <c r="V232" s="49">
        <f>T232+S232</f>
        <v>0</v>
      </c>
      <c r="W232" s="49"/>
      <c r="X232" s="49"/>
      <c r="Y232" s="49"/>
      <c r="Z232" s="49"/>
      <c r="AA232" s="49">
        <v>5917200</v>
      </c>
      <c r="AB232" s="49">
        <v>5917200</v>
      </c>
      <c r="AC232" s="49">
        <f t="shared" si="72"/>
        <v>0</v>
      </c>
      <c r="AD232" s="49">
        <f>AA232+T232+M232</f>
        <v>5917200</v>
      </c>
      <c r="AE232" s="49"/>
      <c r="AF232" s="49"/>
      <c r="AG232" s="49"/>
      <c r="AH232" s="49">
        <v>5917200</v>
      </c>
      <c r="AI232" s="49"/>
      <c r="AJ232" s="49"/>
      <c r="AK232" s="49">
        <f>Z232+Y232+X232+W232+N232+AG232+AJ232+AI232+AH232</f>
        <v>5917200</v>
      </c>
      <c r="AL232" s="49">
        <f>AK232/AD232*100</f>
        <v>100</v>
      </c>
      <c r="AM232" s="49"/>
      <c r="AN232" s="49"/>
      <c r="AO232" s="49"/>
      <c r="AP232" s="49"/>
      <c r="AQ232" s="49">
        <f>AK232+AM232+AN232+AO232+AP232</f>
        <v>5917200</v>
      </c>
      <c r="AR232" s="49">
        <f>AQ232/AB232*100</f>
        <v>100</v>
      </c>
      <c r="AS232" s="49">
        <f>AB232-AQ232</f>
        <v>0</v>
      </c>
      <c r="AT232" s="49">
        <v>3091500</v>
      </c>
      <c r="AU232" s="49">
        <f>AT232+U232</f>
        <v>3091500</v>
      </c>
      <c r="AV232" s="49">
        <f>AK232</f>
        <v>5917200</v>
      </c>
      <c r="AW232" s="72">
        <f>AV232/AU232*100</f>
        <v>191.40223192624939</v>
      </c>
      <c r="AX232" s="49">
        <f>AU232-AV232</f>
        <v>-2825700</v>
      </c>
      <c r="AY232" s="49">
        <f>AS232/AB232*100</f>
        <v>0</v>
      </c>
      <c r="AZ232" s="73">
        <f t="shared" si="78"/>
        <v>5917200</v>
      </c>
      <c r="BA232" s="73"/>
    </row>
    <row r="233" spans="1:53" ht="20.100000000000001" customHeight="1">
      <c r="A233" s="68"/>
      <c r="B233" s="69"/>
      <c r="C233" s="240" t="s">
        <v>419</v>
      </c>
      <c r="D233" s="240"/>
      <c r="E233" s="241"/>
      <c r="F233" s="70"/>
      <c r="G233" s="71"/>
      <c r="H233" s="71"/>
      <c r="I233" s="240" t="s">
        <v>389</v>
      </c>
      <c r="J233" s="240"/>
      <c r="K233" s="241"/>
      <c r="L233" s="49"/>
      <c r="M233" s="49"/>
      <c r="N233" s="49"/>
      <c r="O233" s="49"/>
      <c r="P233" s="49"/>
      <c r="Q233" s="49"/>
      <c r="R233" s="72"/>
      <c r="S233" s="49"/>
      <c r="T233" s="49"/>
      <c r="U233" s="49"/>
      <c r="V233" s="49"/>
      <c r="W233" s="49"/>
      <c r="X233" s="49"/>
      <c r="Y233" s="49"/>
      <c r="Z233" s="49"/>
      <c r="AA233" s="49"/>
      <c r="AB233" s="49"/>
      <c r="AC233" s="49">
        <f t="shared" si="72"/>
        <v>0</v>
      </c>
      <c r="AD233" s="49"/>
      <c r="AE233" s="49"/>
      <c r="AF233" s="49"/>
      <c r="AG233" s="49"/>
      <c r="AH233" s="49"/>
      <c r="AI233" s="49"/>
      <c r="AJ233" s="49"/>
      <c r="AK233" s="49"/>
      <c r="AL233" s="49"/>
      <c r="AM233" s="49"/>
      <c r="AN233" s="49"/>
      <c r="AO233" s="49"/>
      <c r="AP233" s="49"/>
      <c r="AQ233" s="49"/>
      <c r="AR233" s="49"/>
      <c r="AS233" s="49"/>
      <c r="AT233" s="49"/>
      <c r="AU233" s="49"/>
      <c r="AV233" s="49"/>
      <c r="AW233" s="49"/>
      <c r="AX233" s="49"/>
      <c r="AY233" s="49"/>
      <c r="AZ233" s="73">
        <f t="shared" si="78"/>
        <v>0</v>
      </c>
      <c r="BA233" s="73"/>
    </row>
    <row r="234" spans="1:53" ht="20.100000000000001" customHeight="1">
      <c r="A234" s="68"/>
      <c r="B234" s="69"/>
      <c r="C234" s="240" t="s">
        <v>420</v>
      </c>
      <c r="D234" s="240"/>
      <c r="E234" s="241"/>
      <c r="F234" s="70"/>
      <c r="G234" s="71"/>
      <c r="H234" s="71"/>
      <c r="I234" s="71"/>
      <c r="J234" s="240" t="s">
        <v>391</v>
      </c>
      <c r="K234" s="241"/>
      <c r="L234" s="49">
        <v>88762550</v>
      </c>
      <c r="M234" s="49">
        <v>0</v>
      </c>
      <c r="N234" s="49"/>
      <c r="O234" s="49"/>
      <c r="P234" s="49"/>
      <c r="Q234" s="49">
        <f>SUM(N234:P234)</f>
        <v>0</v>
      </c>
      <c r="R234" s="72"/>
      <c r="S234" s="49">
        <f>M234-Q234</f>
        <v>0</v>
      </c>
      <c r="T234" s="49">
        <v>0</v>
      </c>
      <c r="U234" s="49">
        <f>T234+M234</f>
        <v>0</v>
      </c>
      <c r="V234" s="49">
        <f>T234+S234</f>
        <v>0</v>
      </c>
      <c r="W234" s="49"/>
      <c r="X234" s="49"/>
      <c r="Y234" s="49"/>
      <c r="Z234" s="49"/>
      <c r="AA234" s="49">
        <v>88762550</v>
      </c>
      <c r="AB234" s="49">
        <v>88762550</v>
      </c>
      <c r="AC234" s="49">
        <f t="shared" si="72"/>
        <v>0</v>
      </c>
      <c r="AD234" s="49">
        <f>AA234+T234+M234</f>
        <v>88762550</v>
      </c>
      <c r="AE234" s="49"/>
      <c r="AF234" s="49">
        <v>88139400</v>
      </c>
      <c r="AG234" s="49"/>
      <c r="AH234" s="49"/>
      <c r="AI234" s="49"/>
      <c r="AJ234" s="49"/>
      <c r="AK234" s="49">
        <f>Z234+Y234+X234+W234+N234+AG234+AH234+AF234</f>
        <v>88139400</v>
      </c>
      <c r="AL234" s="49">
        <f>AK234/AD234*100</f>
        <v>99.297958429540387</v>
      </c>
      <c r="AM234" s="49"/>
      <c r="AN234" s="49"/>
      <c r="AO234" s="49"/>
      <c r="AP234" s="49"/>
      <c r="AQ234" s="49">
        <f>AK234+AM234+AN234+AO234+AP234</f>
        <v>88139400</v>
      </c>
      <c r="AR234" s="49">
        <f>AQ234/AB234*100</f>
        <v>99.297958429540387</v>
      </c>
      <c r="AS234" s="49">
        <f>AB234-AQ234</f>
        <v>623150</v>
      </c>
      <c r="AT234" s="49">
        <v>3091500</v>
      </c>
      <c r="AU234" s="49">
        <f>AT234+U234</f>
        <v>3091500</v>
      </c>
      <c r="AV234" s="49">
        <f>AK234</f>
        <v>88139400</v>
      </c>
      <c r="AW234" s="72">
        <f>AV234/AU234*100</f>
        <v>2851.0237748665695</v>
      </c>
      <c r="AX234" s="49">
        <f>AU234-AV234</f>
        <v>-85047900</v>
      </c>
      <c r="AY234" s="49">
        <f>AS234/AB234*100</f>
        <v>0.70204157045961391</v>
      </c>
      <c r="AZ234" s="73">
        <f t="shared" si="78"/>
        <v>88139400</v>
      </c>
      <c r="BA234" s="73"/>
    </row>
    <row r="235" spans="1:53" ht="20.100000000000001" customHeight="1">
      <c r="A235" s="68"/>
      <c r="B235" s="69"/>
      <c r="C235" s="240" t="s">
        <v>421</v>
      </c>
      <c r="D235" s="240"/>
      <c r="E235" s="241"/>
      <c r="F235" s="70"/>
      <c r="G235" s="71"/>
      <c r="H235" s="71"/>
      <c r="I235" s="240" t="s">
        <v>163</v>
      </c>
      <c r="J235" s="240"/>
      <c r="K235" s="241"/>
      <c r="L235" s="49"/>
      <c r="M235" s="49"/>
      <c r="N235" s="49"/>
      <c r="O235" s="49"/>
      <c r="P235" s="49"/>
      <c r="Q235" s="49"/>
      <c r="R235" s="72"/>
      <c r="S235" s="49"/>
      <c r="T235" s="49"/>
      <c r="U235" s="49"/>
      <c r="V235" s="49"/>
      <c r="W235" s="49"/>
      <c r="X235" s="49"/>
      <c r="Y235" s="49"/>
      <c r="Z235" s="49"/>
      <c r="AA235" s="49"/>
      <c r="AB235" s="49"/>
      <c r="AC235" s="49">
        <f t="shared" si="72"/>
        <v>0</v>
      </c>
      <c r="AD235" s="49"/>
      <c r="AE235" s="49"/>
      <c r="AF235" s="49"/>
      <c r="AG235" s="49"/>
      <c r="AH235" s="49"/>
      <c r="AI235" s="49"/>
      <c r="AJ235" s="49"/>
      <c r="AK235" s="49"/>
      <c r="AL235" s="49"/>
      <c r="AM235" s="49"/>
      <c r="AN235" s="49"/>
      <c r="AO235" s="49"/>
      <c r="AP235" s="49"/>
      <c r="AQ235" s="49"/>
      <c r="AR235" s="49"/>
      <c r="AS235" s="49"/>
      <c r="AT235" s="49"/>
      <c r="AU235" s="49"/>
      <c r="AV235" s="49"/>
      <c r="AW235" s="49"/>
      <c r="AX235" s="49"/>
      <c r="AY235" s="49"/>
      <c r="AZ235" s="73">
        <f t="shared" si="78"/>
        <v>0</v>
      </c>
      <c r="BA235" s="73"/>
    </row>
    <row r="236" spans="1:53" ht="20.100000000000001" customHeight="1">
      <c r="A236" s="68"/>
      <c r="B236" s="69"/>
      <c r="C236" s="240" t="s">
        <v>422</v>
      </c>
      <c r="D236" s="240"/>
      <c r="E236" s="241"/>
      <c r="F236" s="70"/>
      <c r="G236" s="71"/>
      <c r="H236" s="71"/>
      <c r="I236" s="71"/>
      <c r="J236" s="240" t="s">
        <v>349</v>
      </c>
      <c r="K236" s="241"/>
      <c r="L236" s="49">
        <v>900000</v>
      </c>
      <c r="M236" s="49">
        <v>0</v>
      </c>
      <c r="N236" s="49"/>
      <c r="O236" s="49"/>
      <c r="P236" s="49"/>
      <c r="Q236" s="49">
        <f>SUM(N236:P236)</f>
        <v>0</v>
      </c>
      <c r="R236" s="72"/>
      <c r="S236" s="49">
        <f>M236-Q236</f>
        <v>0</v>
      </c>
      <c r="T236" s="49">
        <v>0</v>
      </c>
      <c r="U236" s="49">
        <f>T236+M236</f>
        <v>0</v>
      </c>
      <c r="V236" s="49">
        <f>T236+S236</f>
        <v>0</v>
      </c>
      <c r="W236" s="49"/>
      <c r="X236" s="49"/>
      <c r="Y236" s="49"/>
      <c r="Z236" s="49"/>
      <c r="AA236" s="49">
        <v>900000</v>
      </c>
      <c r="AB236" s="49">
        <v>900000</v>
      </c>
      <c r="AC236" s="49">
        <f t="shared" si="72"/>
        <v>0</v>
      </c>
      <c r="AD236" s="49">
        <f>AA236+T236+M236</f>
        <v>900000</v>
      </c>
      <c r="AE236" s="49"/>
      <c r="AF236" s="49"/>
      <c r="AG236" s="49"/>
      <c r="AH236" s="49">
        <v>450000</v>
      </c>
      <c r="AI236" s="49"/>
      <c r="AJ236" s="49"/>
      <c r="AK236" s="49">
        <f>Z236+Y236+X236+W236+N236+AG236+AJ236+AI236+AH236</f>
        <v>450000</v>
      </c>
      <c r="AL236" s="49">
        <f>AK236/AD236*100</f>
        <v>50</v>
      </c>
      <c r="AM236" s="49"/>
      <c r="AN236" s="49"/>
      <c r="AO236" s="42">
        <v>50000</v>
      </c>
      <c r="AP236" s="49"/>
      <c r="AQ236" s="49">
        <f>AK236+AM236+AN236+AO236+AP236</f>
        <v>500000</v>
      </c>
      <c r="AR236" s="49">
        <f>AQ236/AB236*100</f>
        <v>55.555555555555557</v>
      </c>
      <c r="AS236" s="49">
        <f>AB236-AQ236</f>
        <v>400000</v>
      </c>
      <c r="AT236" s="49">
        <v>3091500</v>
      </c>
      <c r="AU236" s="49">
        <f>AT236+U236</f>
        <v>3091500</v>
      </c>
      <c r="AV236" s="49">
        <f>AK236</f>
        <v>450000</v>
      </c>
      <c r="AW236" s="72">
        <f>AV236/AU236*100</f>
        <v>14.556040756914118</v>
      </c>
      <c r="AX236" s="49">
        <f>AU236-AV236</f>
        <v>2641500</v>
      </c>
      <c r="AY236" s="49">
        <f>AS236/AB236*100</f>
        <v>44.444444444444443</v>
      </c>
      <c r="AZ236" s="73">
        <f t="shared" si="78"/>
        <v>450000</v>
      </c>
      <c r="BA236" s="73"/>
    </row>
    <row r="237" spans="1:53" ht="20.100000000000001" customHeight="1">
      <c r="A237" s="68"/>
      <c r="B237" s="69"/>
      <c r="C237" s="240" t="s">
        <v>423</v>
      </c>
      <c r="D237" s="240"/>
      <c r="E237" s="241"/>
      <c r="F237" s="70"/>
      <c r="G237" s="71"/>
      <c r="H237" s="71"/>
      <c r="I237" s="71"/>
      <c r="J237" s="240" t="s">
        <v>352</v>
      </c>
      <c r="K237" s="241"/>
      <c r="L237" s="49">
        <v>120000000</v>
      </c>
      <c r="M237" s="49">
        <v>0</v>
      </c>
      <c r="N237" s="49"/>
      <c r="O237" s="49"/>
      <c r="P237" s="49"/>
      <c r="Q237" s="49">
        <f>SUM(N237:P237)</f>
        <v>0</v>
      </c>
      <c r="R237" s="72"/>
      <c r="S237" s="49">
        <f>M237-Q237</f>
        <v>0</v>
      </c>
      <c r="T237" s="49">
        <v>0</v>
      </c>
      <c r="U237" s="49">
        <f>T237+M237</f>
        <v>0</v>
      </c>
      <c r="V237" s="49">
        <f>T237+S237</f>
        <v>0</v>
      </c>
      <c r="W237" s="49"/>
      <c r="X237" s="49"/>
      <c r="Y237" s="49"/>
      <c r="Z237" s="49"/>
      <c r="AA237" s="49">
        <v>120000000</v>
      </c>
      <c r="AB237" s="49">
        <v>120000000</v>
      </c>
      <c r="AC237" s="49">
        <f t="shared" si="72"/>
        <v>0</v>
      </c>
      <c r="AD237" s="49">
        <f>AA237+T237+M237</f>
        <v>120000000</v>
      </c>
      <c r="AE237" s="49"/>
      <c r="AF237" s="49"/>
      <c r="AG237" s="49"/>
      <c r="AH237" s="49">
        <v>101825000</v>
      </c>
      <c r="AI237" s="49"/>
      <c r="AJ237" s="49"/>
      <c r="AK237" s="49">
        <f>Z237+Y237+X237+W237+N237+AG237+AJ237+AI237+AH237</f>
        <v>101825000</v>
      </c>
      <c r="AL237" s="49">
        <f>AK237/AD237*100</f>
        <v>84.854166666666657</v>
      </c>
      <c r="AM237" s="49"/>
      <c r="AN237" s="49"/>
      <c r="AO237" s="42">
        <v>7200000</v>
      </c>
      <c r="AP237" s="49"/>
      <c r="AQ237" s="49">
        <f>AK237+AM237+AN237+AO237+AP237</f>
        <v>109025000</v>
      </c>
      <c r="AR237" s="49">
        <f>AQ237/AB237*100</f>
        <v>90.854166666666671</v>
      </c>
      <c r="AS237" s="49">
        <f>AB237-AQ237</f>
        <v>10975000</v>
      </c>
      <c r="AT237" s="49">
        <v>3091500</v>
      </c>
      <c r="AU237" s="49">
        <f>AT237+U237</f>
        <v>3091500</v>
      </c>
      <c r="AV237" s="49">
        <f>AK237</f>
        <v>101825000</v>
      </c>
      <c r="AW237" s="72">
        <f>AV237/AU237*100</f>
        <v>3293.7085557172891</v>
      </c>
      <c r="AX237" s="49">
        <f>AU237-AV237</f>
        <v>-98733500</v>
      </c>
      <c r="AY237" s="49">
        <f>AS237/AB237*100</f>
        <v>9.1458333333333339</v>
      </c>
      <c r="AZ237" s="73">
        <f t="shared" si="78"/>
        <v>101825000</v>
      </c>
      <c r="BA237" s="73"/>
    </row>
    <row r="238" spans="1:53" ht="20.100000000000001" customHeight="1">
      <c r="A238" s="68"/>
      <c r="B238" s="69"/>
      <c r="C238" s="240" t="s">
        <v>424</v>
      </c>
      <c r="D238" s="240"/>
      <c r="E238" s="241"/>
      <c r="F238" s="70"/>
      <c r="G238" s="71"/>
      <c r="H238" s="71"/>
      <c r="I238" s="240" t="s">
        <v>151</v>
      </c>
      <c r="J238" s="240"/>
      <c r="K238" s="241"/>
      <c r="L238" s="49"/>
      <c r="M238" s="49"/>
      <c r="N238" s="49"/>
      <c r="O238" s="49"/>
      <c r="P238" s="49"/>
      <c r="Q238" s="49"/>
      <c r="R238" s="72"/>
      <c r="S238" s="49"/>
      <c r="T238" s="49"/>
      <c r="U238" s="49"/>
      <c r="V238" s="49"/>
      <c r="W238" s="49"/>
      <c r="X238" s="49"/>
      <c r="Y238" s="49"/>
      <c r="Z238" s="49"/>
      <c r="AA238" s="49"/>
      <c r="AB238" s="49"/>
      <c r="AC238" s="49">
        <f t="shared" si="72"/>
        <v>0</v>
      </c>
      <c r="AD238" s="49"/>
      <c r="AE238" s="49"/>
      <c r="AF238" s="49"/>
      <c r="AG238" s="49"/>
      <c r="AH238" s="49"/>
      <c r="AI238" s="49"/>
      <c r="AJ238" s="49"/>
      <c r="AK238" s="49"/>
      <c r="AL238" s="49"/>
      <c r="AM238" s="49"/>
      <c r="AN238" s="49"/>
      <c r="AO238" s="49"/>
      <c r="AP238" s="49"/>
      <c r="AQ238" s="49"/>
      <c r="AR238" s="49"/>
      <c r="AS238" s="49"/>
      <c r="AT238" s="49"/>
      <c r="AU238" s="49"/>
      <c r="AV238" s="49"/>
      <c r="AW238" s="49"/>
      <c r="AX238" s="49"/>
      <c r="AY238" s="49"/>
      <c r="AZ238" s="73">
        <f t="shared" si="78"/>
        <v>0</v>
      </c>
      <c r="BA238" s="73"/>
    </row>
    <row r="239" spans="1:53" ht="20.100000000000001" customHeight="1">
      <c r="A239" s="68"/>
      <c r="B239" s="69"/>
      <c r="C239" s="240" t="s">
        <v>425</v>
      </c>
      <c r="D239" s="240"/>
      <c r="E239" s="241"/>
      <c r="F239" s="70"/>
      <c r="G239" s="71"/>
      <c r="H239" s="71"/>
      <c r="I239" s="71"/>
      <c r="J239" s="240" t="s">
        <v>153</v>
      </c>
      <c r="K239" s="241"/>
      <c r="L239" s="49">
        <v>2000000</v>
      </c>
      <c r="M239" s="49">
        <v>0</v>
      </c>
      <c r="N239" s="49"/>
      <c r="O239" s="49"/>
      <c r="P239" s="49"/>
      <c r="Q239" s="49">
        <f>SUM(N239:P239)</f>
        <v>0</v>
      </c>
      <c r="R239" s="72"/>
      <c r="S239" s="49">
        <f>M239-Q239</f>
        <v>0</v>
      </c>
      <c r="T239" s="49">
        <v>0</v>
      </c>
      <c r="U239" s="49">
        <f>T239+M239</f>
        <v>0</v>
      </c>
      <c r="V239" s="49">
        <f>T239+S239</f>
        <v>0</v>
      </c>
      <c r="W239" s="49"/>
      <c r="X239" s="49"/>
      <c r="Y239" s="49"/>
      <c r="Z239" s="49"/>
      <c r="AA239" s="49">
        <v>2000000</v>
      </c>
      <c r="AB239" s="49">
        <v>2000000</v>
      </c>
      <c r="AC239" s="49">
        <f t="shared" si="72"/>
        <v>0</v>
      </c>
      <c r="AD239" s="49">
        <f t="shared" ref="AD239:AD247" si="79">AA239+T239+M239</f>
        <v>2000000</v>
      </c>
      <c r="AE239" s="49"/>
      <c r="AF239" s="49"/>
      <c r="AG239" s="49"/>
      <c r="AH239" s="49">
        <v>1080000</v>
      </c>
      <c r="AI239" s="49"/>
      <c r="AJ239" s="49"/>
      <c r="AK239" s="49">
        <f>Z239+Y239+X239+W239+N239+AG239+AJ239+AI239+AH239</f>
        <v>1080000</v>
      </c>
      <c r="AL239" s="49">
        <f>AK239/AD239*100</f>
        <v>54</v>
      </c>
      <c r="AM239" s="49"/>
      <c r="AN239" s="49"/>
      <c r="AO239" s="42">
        <v>120000</v>
      </c>
      <c r="AP239" s="49"/>
      <c r="AQ239" s="49">
        <f>AK239+AM239+AN239+AO239+AP239</f>
        <v>1200000</v>
      </c>
      <c r="AR239" s="49">
        <f>AQ239/AB239*100</f>
        <v>60</v>
      </c>
      <c r="AS239" s="49">
        <f>AB239-AQ239</f>
        <v>800000</v>
      </c>
      <c r="AT239" s="49">
        <v>3091500</v>
      </c>
      <c r="AU239" s="49">
        <f>AT239+U239</f>
        <v>3091500</v>
      </c>
      <c r="AV239" s="49">
        <f>AK239</f>
        <v>1080000</v>
      </c>
      <c r="AW239" s="72">
        <f>AV239/AU239*100</f>
        <v>34.934497816593883</v>
      </c>
      <c r="AX239" s="49">
        <f>AU239-AV239</f>
        <v>2011500</v>
      </c>
      <c r="AY239" s="49">
        <f>AS239/AB239*100</f>
        <v>40</v>
      </c>
      <c r="AZ239" s="73">
        <f t="shared" si="78"/>
        <v>1080000</v>
      </c>
      <c r="BA239" s="73"/>
    </row>
    <row r="240" spans="1:53" ht="20.100000000000001" customHeight="1">
      <c r="A240" s="68"/>
      <c r="B240" s="69"/>
      <c r="C240" s="240" t="s">
        <v>426</v>
      </c>
      <c r="D240" s="240"/>
      <c r="E240" s="241"/>
      <c r="F240" s="70"/>
      <c r="G240" s="71"/>
      <c r="H240" s="71"/>
      <c r="I240" s="71"/>
      <c r="J240" s="240" t="s">
        <v>155</v>
      </c>
      <c r="K240" s="241"/>
      <c r="L240" s="49">
        <v>9245250</v>
      </c>
      <c r="M240" s="49">
        <v>0</v>
      </c>
      <c r="N240" s="49"/>
      <c r="O240" s="49"/>
      <c r="P240" s="49"/>
      <c r="Q240" s="49">
        <f>SUM(N240:P240)</f>
        <v>0</v>
      </c>
      <c r="R240" s="72"/>
      <c r="S240" s="49">
        <f>M240-Q240</f>
        <v>0</v>
      </c>
      <c r="T240" s="49">
        <v>0</v>
      </c>
      <c r="U240" s="49">
        <f>T240+M240</f>
        <v>0</v>
      </c>
      <c r="V240" s="49">
        <f>T240+S240</f>
        <v>0</v>
      </c>
      <c r="W240" s="49"/>
      <c r="X240" s="49"/>
      <c r="Y240" s="49"/>
      <c r="Z240" s="49"/>
      <c r="AA240" s="49">
        <v>9245250</v>
      </c>
      <c r="AB240" s="49">
        <v>9245250</v>
      </c>
      <c r="AC240" s="49">
        <f t="shared" si="72"/>
        <v>0</v>
      </c>
      <c r="AD240" s="49">
        <f t="shared" si="79"/>
        <v>9245250</v>
      </c>
      <c r="AE240" s="49"/>
      <c r="AF240" s="49"/>
      <c r="AG240" s="49"/>
      <c r="AH240" s="49">
        <v>8575000</v>
      </c>
      <c r="AI240" s="49"/>
      <c r="AJ240" s="49"/>
      <c r="AK240" s="49">
        <f>Z240+Y240+X240+W240+N240+AG240+AJ240+AI240+AH240</f>
        <v>8575000</v>
      </c>
      <c r="AL240" s="49">
        <f>AK240/AD240*100</f>
        <v>92.750331251183042</v>
      </c>
      <c r="AM240" s="49"/>
      <c r="AN240" s="49"/>
      <c r="AO240" s="42">
        <v>670250</v>
      </c>
      <c r="AP240" s="49"/>
      <c r="AQ240" s="49">
        <f>AK240+AM240+AN240+AO240+AP240</f>
        <v>9245250</v>
      </c>
      <c r="AR240" s="49">
        <f>AQ240/AB240*100</f>
        <v>100</v>
      </c>
      <c r="AS240" s="49">
        <f>AB240-AQ240</f>
        <v>0</v>
      </c>
      <c r="AT240" s="49">
        <v>3091500</v>
      </c>
      <c r="AU240" s="49">
        <f>AT240+U240</f>
        <v>3091500</v>
      </c>
      <c r="AV240" s="49">
        <f>AK240</f>
        <v>8575000</v>
      </c>
      <c r="AW240" s="72">
        <f>AV240/AU240*100</f>
        <v>277.37344331230793</v>
      </c>
      <c r="AX240" s="49">
        <f>AU240-AV240</f>
        <v>-5483500</v>
      </c>
      <c r="AY240" s="49">
        <f>AS240/AB240*100</f>
        <v>0</v>
      </c>
      <c r="AZ240" s="73">
        <f t="shared" si="78"/>
        <v>8575000</v>
      </c>
      <c r="BA240" s="73"/>
    </row>
    <row r="241" spans="1:53" ht="20.100000000000001" customHeight="1">
      <c r="A241" s="68"/>
      <c r="B241" s="69"/>
      <c r="C241" s="240" t="s">
        <v>427</v>
      </c>
      <c r="D241" s="240"/>
      <c r="E241" s="241"/>
      <c r="F241" s="70"/>
      <c r="G241" s="71"/>
      <c r="H241" s="71"/>
      <c r="I241" s="240" t="s">
        <v>193</v>
      </c>
      <c r="J241" s="240"/>
      <c r="K241" s="241"/>
      <c r="L241" s="49"/>
      <c r="M241" s="49"/>
      <c r="N241" s="49"/>
      <c r="O241" s="49"/>
      <c r="P241" s="49"/>
      <c r="Q241" s="49"/>
      <c r="R241" s="72"/>
      <c r="S241" s="49"/>
      <c r="T241" s="49"/>
      <c r="U241" s="49"/>
      <c r="V241" s="49"/>
      <c r="W241" s="49"/>
      <c r="X241" s="49"/>
      <c r="Y241" s="49"/>
      <c r="Z241" s="49"/>
      <c r="AA241" s="49"/>
      <c r="AB241" s="49"/>
      <c r="AC241" s="49">
        <f t="shared" ref="AC241:AC304" si="80">AB241-L241</f>
        <v>0</v>
      </c>
      <c r="AD241" s="49"/>
      <c r="AE241" s="49"/>
      <c r="AF241" s="49"/>
      <c r="AG241" s="49"/>
      <c r="AH241" s="49"/>
      <c r="AI241" s="49"/>
      <c r="AJ241" s="49"/>
      <c r="AK241" s="49"/>
      <c r="AL241" s="49"/>
      <c r="AM241" s="49"/>
      <c r="AN241" s="49"/>
      <c r="AO241" s="49"/>
      <c r="AP241" s="49"/>
      <c r="AQ241" s="49"/>
      <c r="AR241" s="49"/>
      <c r="AS241" s="49"/>
      <c r="AT241" s="49"/>
      <c r="AU241" s="49"/>
      <c r="AV241" s="49"/>
      <c r="AW241" s="49"/>
      <c r="AX241" s="49"/>
      <c r="AY241" s="49"/>
      <c r="AZ241" s="73">
        <f t="shared" si="78"/>
        <v>0</v>
      </c>
      <c r="BA241" s="73"/>
    </row>
    <row r="242" spans="1:53" ht="20.100000000000001" customHeight="1">
      <c r="A242" s="68"/>
      <c r="B242" s="69"/>
      <c r="C242" s="240" t="s">
        <v>428</v>
      </c>
      <c r="D242" s="240"/>
      <c r="E242" s="241"/>
      <c r="F242" s="70"/>
      <c r="G242" s="71"/>
      <c r="H242" s="71"/>
      <c r="I242" s="71"/>
      <c r="J242" s="240" t="s">
        <v>195</v>
      </c>
      <c r="K242" s="241"/>
      <c r="L242" s="49">
        <v>7375000</v>
      </c>
      <c r="M242" s="49">
        <v>0</v>
      </c>
      <c r="N242" s="49"/>
      <c r="O242" s="49"/>
      <c r="P242" s="49"/>
      <c r="Q242" s="49">
        <f>SUM(N242:P242)</f>
        <v>0</v>
      </c>
      <c r="R242" s="72"/>
      <c r="S242" s="49">
        <f>M242-Q242</f>
        <v>0</v>
      </c>
      <c r="T242" s="49">
        <v>0</v>
      </c>
      <c r="U242" s="49">
        <f>T242+M242</f>
        <v>0</v>
      </c>
      <c r="V242" s="49">
        <f>T242+S242</f>
        <v>0</v>
      </c>
      <c r="W242" s="49"/>
      <c r="X242" s="49"/>
      <c r="Y242" s="49"/>
      <c r="Z242" s="49"/>
      <c r="AA242" s="49">
        <v>7375000</v>
      </c>
      <c r="AB242" s="49">
        <v>7375000</v>
      </c>
      <c r="AC242" s="49">
        <f t="shared" si="80"/>
        <v>0</v>
      </c>
      <c r="AD242" s="49">
        <f t="shared" si="79"/>
        <v>7375000</v>
      </c>
      <c r="AE242" s="49"/>
      <c r="AF242" s="49"/>
      <c r="AG242" s="49"/>
      <c r="AH242" s="49">
        <v>6125000</v>
      </c>
      <c r="AI242" s="49"/>
      <c r="AJ242" s="49"/>
      <c r="AK242" s="49">
        <f>Z242+Y242+X242+W242+N242+AG242+AJ242+AI242+AH242</f>
        <v>6125000</v>
      </c>
      <c r="AL242" s="49">
        <f>AK242/AD242*100</f>
        <v>83.050847457627114</v>
      </c>
      <c r="AM242" s="49"/>
      <c r="AN242" s="49"/>
      <c r="AO242" s="42">
        <v>875000</v>
      </c>
      <c r="AP242" s="49"/>
      <c r="AQ242" s="49">
        <f>AK242+AM242+AN242+AO242+AP242</f>
        <v>7000000</v>
      </c>
      <c r="AR242" s="49">
        <f>AQ242/AB242*100</f>
        <v>94.915254237288138</v>
      </c>
      <c r="AS242" s="49">
        <f>AB242-AQ242</f>
        <v>375000</v>
      </c>
      <c r="AT242" s="49">
        <v>3091500</v>
      </c>
      <c r="AU242" s="49">
        <f>AT242+U242</f>
        <v>3091500</v>
      </c>
      <c r="AV242" s="49">
        <f>AK242</f>
        <v>6125000</v>
      </c>
      <c r="AW242" s="72">
        <f>AV242/AU242*100</f>
        <v>198.12388808021996</v>
      </c>
      <c r="AX242" s="49">
        <f>AU242-AV242</f>
        <v>-3033500</v>
      </c>
      <c r="AY242" s="49">
        <f>AS242/AB242*100</f>
        <v>5.0847457627118651</v>
      </c>
      <c r="AZ242" s="73">
        <f t="shared" si="78"/>
        <v>6125000</v>
      </c>
      <c r="BA242" s="73"/>
    </row>
    <row r="243" spans="1:53" ht="20.100000000000001" customHeight="1">
      <c r="A243" s="68"/>
      <c r="B243" s="69"/>
      <c r="C243" s="240" t="s">
        <v>429</v>
      </c>
      <c r="D243" s="240"/>
      <c r="E243" s="241"/>
      <c r="F243" s="70"/>
      <c r="G243" s="71"/>
      <c r="H243" s="71"/>
      <c r="I243" s="240" t="s">
        <v>157</v>
      </c>
      <c r="J243" s="240"/>
      <c r="K243" s="241"/>
      <c r="L243" s="49"/>
      <c r="M243" s="49"/>
      <c r="N243" s="49"/>
      <c r="O243" s="49"/>
      <c r="P243" s="49"/>
      <c r="Q243" s="49"/>
      <c r="R243" s="72"/>
      <c r="S243" s="49"/>
      <c r="T243" s="49"/>
      <c r="U243" s="49"/>
      <c r="V243" s="49"/>
      <c r="W243" s="49"/>
      <c r="X243" s="49"/>
      <c r="Y243" s="49"/>
      <c r="Z243" s="49"/>
      <c r="AA243" s="49"/>
      <c r="AB243" s="49"/>
      <c r="AC243" s="49">
        <f t="shared" si="80"/>
        <v>0</v>
      </c>
      <c r="AD243" s="49"/>
      <c r="AE243" s="49"/>
      <c r="AF243" s="49"/>
      <c r="AG243" s="49"/>
      <c r="AH243" s="49"/>
      <c r="AI243" s="49"/>
      <c r="AJ243" s="49"/>
      <c r="AK243" s="49"/>
      <c r="AL243" s="49"/>
      <c r="AM243" s="49"/>
      <c r="AN243" s="49"/>
      <c r="AO243" s="49"/>
      <c r="AP243" s="49"/>
      <c r="AQ243" s="49"/>
      <c r="AR243" s="49"/>
      <c r="AS243" s="49"/>
      <c r="AT243" s="49"/>
      <c r="AU243" s="49"/>
      <c r="AV243" s="49"/>
      <c r="AW243" s="49"/>
      <c r="AX243" s="49"/>
      <c r="AY243" s="49"/>
      <c r="AZ243" s="73">
        <f t="shared" si="78"/>
        <v>0</v>
      </c>
      <c r="BA243" s="73"/>
    </row>
    <row r="244" spans="1:53" ht="20.100000000000001" customHeight="1">
      <c r="A244" s="68"/>
      <c r="B244" s="69"/>
      <c r="C244" s="240" t="s">
        <v>430</v>
      </c>
      <c r="D244" s="240"/>
      <c r="E244" s="241"/>
      <c r="F244" s="70"/>
      <c r="G244" s="71"/>
      <c r="H244" s="71"/>
      <c r="I244" s="71"/>
      <c r="J244" s="240" t="s">
        <v>159</v>
      </c>
      <c r="K244" s="241"/>
      <c r="L244" s="49">
        <v>28140000</v>
      </c>
      <c r="M244" s="49">
        <v>0</v>
      </c>
      <c r="N244" s="49"/>
      <c r="O244" s="49"/>
      <c r="P244" s="49"/>
      <c r="Q244" s="49">
        <f>SUM(N244:P244)</f>
        <v>0</v>
      </c>
      <c r="R244" s="72"/>
      <c r="S244" s="49">
        <f>M244-Q244</f>
        <v>0</v>
      </c>
      <c r="T244" s="49">
        <v>0</v>
      </c>
      <c r="U244" s="49">
        <f>T244+M244</f>
        <v>0</v>
      </c>
      <c r="V244" s="49">
        <f>T244+S244</f>
        <v>0</v>
      </c>
      <c r="W244" s="49"/>
      <c r="X244" s="49"/>
      <c r="Y244" s="49"/>
      <c r="Z244" s="49"/>
      <c r="AA244" s="49">
        <v>16000000</v>
      </c>
      <c r="AB244" s="49">
        <v>28140000</v>
      </c>
      <c r="AC244" s="49">
        <f t="shared" si="80"/>
        <v>0</v>
      </c>
      <c r="AD244" s="49">
        <f t="shared" si="79"/>
        <v>16000000</v>
      </c>
      <c r="AE244" s="49"/>
      <c r="AF244" s="49"/>
      <c r="AG244" s="49"/>
      <c r="AH244" s="49">
        <v>14800000</v>
      </c>
      <c r="AI244" s="49"/>
      <c r="AJ244" s="49"/>
      <c r="AK244" s="49">
        <f>Z244+Y244+X244+W244+N244+AG244+AJ244+AI244+AH244</f>
        <v>14800000</v>
      </c>
      <c r="AL244" s="49">
        <f>AK244/AD244*100</f>
        <v>92.5</v>
      </c>
      <c r="AM244" s="48"/>
      <c r="AN244" s="49"/>
      <c r="AO244" s="42">
        <v>2860000</v>
      </c>
      <c r="AP244" s="49"/>
      <c r="AQ244" s="49">
        <f>AK244+AM244+AN244+AO244+AP244</f>
        <v>17660000</v>
      </c>
      <c r="AR244" s="49">
        <f>AQ244/AB244*100</f>
        <v>62.75764036958067</v>
      </c>
      <c r="AS244" s="49">
        <f>AB244-AQ244</f>
        <v>10480000</v>
      </c>
      <c r="AT244" s="49">
        <v>3091500</v>
      </c>
      <c r="AU244" s="49">
        <f>AT244+U244</f>
        <v>3091500</v>
      </c>
      <c r="AV244" s="49">
        <f>AK244</f>
        <v>14800000</v>
      </c>
      <c r="AW244" s="72">
        <f>AV244/AU244*100</f>
        <v>478.73200711628658</v>
      </c>
      <c r="AX244" s="49">
        <f>AU244-AV244</f>
        <v>-11708500</v>
      </c>
      <c r="AY244" s="49">
        <f>AS244/AB244*100</f>
        <v>37.24235963041933</v>
      </c>
      <c r="AZ244" s="73">
        <f t="shared" si="78"/>
        <v>14800000</v>
      </c>
      <c r="BA244" s="73"/>
    </row>
    <row r="245" spans="1:53" ht="20.100000000000001" customHeight="1">
      <c r="A245" s="68"/>
      <c r="B245" s="69"/>
      <c r="C245" s="240" t="s">
        <v>431</v>
      </c>
      <c r="D245" s="240"/>
      <c r="E245" s="241"/>
      <c r="F245" s="70"/>
      <c r="G245" s="71"/>
      <c r="H245" s="71"/>
      <c r="I245" s="71"/>
      <c r="J245" s="240" t="s">
        <v>207</v>
      </c>
      <c r="K245" s="241"/>
      <c r="L245" s="49">
        <v>7910000</v>
      </c>
      <c r="M245" s="49">
        <v>0</v>
      </c>
      <c r="N245" s="49"/>
      <c r="O245" s="49"/>
      <c r="P245" s="49"/>
      <c r="Q245" s="49">
        <f>SUM(N245:P245)</f>
        <v>0</v>
      </c>
      <c r="R245" s="72"/>
      <c r="S245" s="49">
        <f>M245-Q245</f>
        <v>0</v>
      </c>
      <c r="T245" s="49">
        <v>0</v>
      </c>
      <c r="U245" s="49">
        <f>T245+M245</f>
        <v>0</v>
      </c>
      <c r="V245" s="49">
        <f>T245+S245</f>
        <v>0</v>
      </c>
      <c r="W245" s="49"/>
      <c r="X245" s="49"/>
      <c r="Y245" s="49"/>
      <c r="Z245" s="49"/>
      <c r="AA245" s="49">
        <v>7910000</v>
      </c>
      <c r="AB245" s="49">
        <v>7910000</v>
      </c>
      <c r="AC245" s="49">
        <f t="shared" si="80"/>
        <v>0</v>
      </c>
      <c r="AD245" s="49">
        <f t="shared" si="79"/>
        <v>7910000</v>
      </c>
      <c r="AE245" s="49"/>
      <c r="AF245" s="49"/>
      <c r="AG245" s="49"/>
      <c r="AH245" s="49">
        <v>7700000</v>
      </c>
      <c r="AI245" s="49"/>
      <c r="AJ245" s="49"/>
      <c r="AK245" s="49">
        <f>Z245+Y245+X245+W245+N245+AG245+AJ245+AI245+AH245</f>
        <v>7700000</v>
      </c>
      <c r="AL245" s="49">
        <f>AK245/AD245*100</f>
        <v>97.345132743362825</v>
      </c>
      <c r="AM245" s="49"/>
      <c r="AN245" s="49"/>
      <c r="AO245" s="49"/>
      <c r="AP245" s="49"/>
      <c r="AQ245" s="49">
        <f>AK245+AM245+AN245+AO245+AP245</f>
        <v>7700000</v>
      </c>
      <c r="AR245" s="49">
        <f>AQ245/AB245*100</f>
        <v>97.345132743362825</v>
      </c>
      <c r="AS245" s="49">
        <f>AB245-AQ245</f>
        <v>210000</v>
      </c>
      <c r="AT245" s="49">
        <v>3091500</v>
      </c>
      <c r="AU245" s="49">
        <f>AT245+U245</f>
        <v>3091500</v>
      </c>
      <c r="AV245" s="49">
        <f>AK245</f>
        <v>7700000</v>
      </c>
      <c r="AW245" s="72">
        <f>AV245/AU245*100</f>
        <v>249.07003072941936</v>
      </c>
      <c r="AX245" s="49">
        <f>AU245-AV245</f>
        <v>-4608500</v>
      </c>
      <c r="AY245" s="49">
        <f>AS245/AB245*100</f>
        <v>2.6548672566371683</v>
      </c>
      <c r="AZ245" s="73">
        <f t="shared" si="78"/>
        <v>7700000</v>
      </c>
      <c r="BA245" s="73"/>
    </row>
    <row r="246" spans="1:53" ht="20.100000000000001" customHeight="1">
      <c r="A246" s="68"/>
      <c r="B246" s="69"/>
      <c r="C246" s="240" t="s">
        <v>432</v>
      </c>
      <c r="D246" s="240"/>
      <c r="E246" s="241"/>
      <c r="F246" s="70"/>
      <c r="G246" s="71"/>
      <c r="H246" s="71"/>
      <c r="I246" s="240" t="s">
        <v>402</v>
      </c>
      <c r="J246" s="240"/>
      <c r="K246" s="241"/>
      <c r="L246" s="49"/>
      <c r="M246" s="49"/>
      <c r="N246" s="49"/>
      <c r="O246" s="49"/>
      <c r="P246" s="49"/>
      <c r="Q246" s="49"/>
      <c r="R246" s="72"/>
      <c r="S246" s="49"/>
      <c r="T246" s="49"/>
      <c r="U246" s="49"/>
      <c r="V246" s="49"/>
      <c r="W246" s="49"/>
      <c r="X246" s="49"/>
      <c r="Y246" s="49"/>
      <c r="Z246" s="49"/>
      <c r="AA246" s="49"/>
      <c r="AB246" s="49"/>
      <c r="AC246" s="49">
        <f t="shared" si="80"/>
        <v>0</v>
      </c>
      <c r="AD246" s="49"/>
      <c r="AE246" s="49"/>
      <c r="AF246" s="49"/>
      <c r="AG246" s="49"/>
      <c r="AH246" s="49"/>
      <c r="AI246" s="49"/>
      <c r="AJ246" s="49"/>
      <c r="AK246" s="49"/>
      <c r="AL246" s="49"/>
      <c r="AM246" s="49"/>
      <c r="AN246" s="49"/>
      <c r="AO246" s="49"/>
      <c r="AP246" s="49"/>
      <c r="AQ246" s="49"/>
      <c r="AR246" s="49"/>
      <c r="AS246" s="49"/>
      <c r="AT246" s="49"/>
      <c r="AU246" s="49"/>
      <c r="AV246" s="49"/>
      <c r="AW246" s="49"/>
      <c r="AX246" s="49"/>
      <c r="AY246" s="49"/>
      <c r="AZ246" s="73">
        <f t="shared" si="78"/>
        <v>0</v>
      </c>
      <c r="BA246" s="73"/>
    </row>
    <row r="247" spans="1:53" ht="20.100000000000001" customHeight="1">
      <c r="A247" s="68"/>
      <c r="B247" s="69"/>
      <c r="C247" s="240" t="s">
        <v>433</v>
      </c>
      <c r="D247" s="240"/>
      <c r="E247" s="241"/>
      <c r="F247" s="70"/>
      <c r="G247" s="71"/>
      <c r="H247" s="71"/>
      <c r="I247" s="71"/>
      <c r="J247" s="240" t="s">
        <v>404</v>
      </c>
      <c r="K247" s="241"/>
      <c r="L247" s="49">
        <v>40000000</v>
      </c>
      <c r="M247" s="49">
        <v>0</v>
      </c>
      <c r="N247" s="49"/>
      <c r="O247" s="49"/>
      <c r="P247" s="49"/>
      <c r="Q247" s="49">
        <f>SUM(N247:P247)</f>
        <v>0</v>
      </c>
      <c r="R247" s="72"/>
      <c r="S247" s="49">
        <f>M247-Q247</f>
        <v>0</v>
      </c>
      <c r="T247" s="49">
        <v>0</v>
      </c>
      <c r="U247" s="49">
        <f>T247+M247</f>
        <v>0</v>
      </c>
      <c r="V247" s="49">
        <f>T247+S247</f>
        <v>0</v>
      </c>
      <c r="W247" s="49"/>
      <c r="X247" s="49"/>
      <c r="Y247" s="49"/>
      <c r="Z247" s="49"/>
      <c r="AA247" s="49">
        <v>40000000</v>
      </c>
      <c r="AB247" s="49">
        <v>40000000</v>
      </c>
      <c r="AC247" s="49">
        <f t="shared" si="80"/>
        <v>0</v>
      </c>
      <c r="AD247" s="49">
        <f t="shared" si="79"/>
        <v>40000000</v>
      </c>
      <c r="AE247" s="49"/>
      <c r="AF247" s="49"/>
      <c r="AG247" s="49"/>
      <c r="AH247" s="49">
        <v>35200000</v>
      </c>
      <c r="AI247" s="49"/>
      <c r="AJ247" s="49"/>
      <c r="AK247" s="49">
        <f>Z247+Y247+X247+W247+N247+AG247+AJ247+AI247+AH247</f>
        <v>35200000</v>
      </c>
      <c r="AL247" s="49">
        <f>AK247/AD247*100</f>
        <v>88</v>
      </c>
      <c r="AM247" s="49"/>
      <c r="AN247" s="49"/>
      <c r="AO247" s="42">
        <v>4800000</v>
      </c>
      <c r="AP247" s="49"/>
      <c r="AQ247" s="49">
        <f>AK247+AM247+AN247+AO247+AP247</f>
        <v>40000000</v>
      </c>
      <c r="AR247" s="49">
        <f>AQ247/AB247*100</f>
        <v>100</v>
      </c>
      <c r="AS247" s="49">
        <f>AB247-AQ247</f>
        <v>0</v>
      </c>
      <c r="AT247" s="49">
        <v>3091500</v>
      </c>
      <c r="AU247" s="49">
        <f>AT247+U247</f>
        <v>3091500</v>
      </c>
      <c r="AV247" s="49">
        <f>AK247</f>
        <v>35200000</v>
      </c>
      <c r="AW247" s="72">
        <f>AV247/AU247*100</f>
        <v>1138.6058547630601</v>
      </c>
      <c r="AX247" s="49">
        <f>AU247-AV247</f>
        <v>-32108500</v>
      </c>
      <c r="AY247" s="49">
        <f>AS247/AB247*100</f>
        <v>0</v>
      </c>
      <c r="AZ247" s="73">
        <f t="shared" si="78"/>
        <v>35200000</v>
      </c>
      <c r="BA247" s="73"/>
    </row>
    <row r="248" spans="1:53" ht="20.100000000000001" customHeight="1">
      <c r="A248" s="62">
        <v>19</v>
      </c>
      <c r="B248" s="63"/>
      <c r="C248" s="242" t="s">
        <v>434</v>
      </c>
      <c r="D248" s="242"/>
      <c r="E248" s="243"/>
      <c r="F248" s="64"/>
      <c r="G248" s="244" t="s">
        <v>435</v>
      </c>
      <c r="H248" s="244"/>
      <c r="I248" s="244"/>
      <c r="J248" s="244"/>
      <c r="K248" s="245"/>
      <c r="L248" s="65">
        <f>SUM(L251:L269)</f>
        <v>150000000</v>
      </c>
      <c r="M248" s="65">
        <f>SUM(M251:M269)</f>
        <v>0</v>
      </c>
      <c r="N248" s="65">
        <f>SUM(N251:N269)</f>
        <v>0</v>
      </c>
      <c r="O248" s="65">
        <f>SUM(O251:O269)</f>
        <v>0</v>
      </c>
      <c r="P248" s="65">
        <f>SUM(P251:P269)</f>
        <v>0</v>
      </c>
      <c r="Q248" s="65">
        <f>SUM(N248:P248)</f>
        <v>0</v>
      </c>
      <c r="R248" s="66"/>
      <c r="S248" s="65">
        <f>M248-Q248</f>
        <v>0</v>
      </c>
      <c r="T248" s="65">
        <f>SUM(T251:T269)</f>
        <v>0</v>
      </c>
      <c r="U248" s="65">
        <f>T248+M248</f>
        <v>0</v>
      </c>
      <c r="V248" s="65">
        <f>T248+S248</f>
        <v>0</v>
      </c>
      <c r="W248" s="65">
        <f>SUM(W251:W269)</f>
        <v>0</v>
      </c>
      <c r="X248" s="65">
        <f>SUM(X251:X269)</f>
        <v>0</v>
      </c>
      <c r="Y248" s="65">
        <f>SUM(Y251:Y269)</f>
        <v>0</v>
      </c>
      <c r="Z248" s="65"/>
      <c r="AA248" s="65">
        <f>SUM(AA251:AA269)</f>
        <v>150000000</v>
      </c>
      <c r="AB248" s="65">
        <f>SUM(AB251:AB269)</f>
        <v>150000000</v>
      </c>
      <c r="AC248" s="65">
        <f t="shared" si="80"/>
        <v>0</v>
      </c>
      <c r="AD248" s="65">
        <f>AA248+T248+M248</f>
        <v>150000000</v>
      </c>
      <c r="AE248" s="65">
        <f t="shared" ref="AE248:AK248" si="81">SUM(AE251:AE269)</f>
        <v>0</v>
      </c>
      <c r="AF248" s="65">
        <f t="shared" si="81"/>
        <v>0</v>
      </c>
      <c r="AG248" s="65">
        <f t="shared" si="81"/>
        <v>0</v>
      </c>
      <c r="AH248" s="65">
        <f t="shared" si="81"/>
        <v>87266175</v>
      </c>
      <c r="AI248" s="65">
        <f t="shared" si="81"/>
        <v>0</v>
      </c>
      <c r="AJ248" s="65">
        <f t="shared" si="81"/>
        <v>0</v>
      </c>
      <c r="AK248" s="65">
        <f t="shared" si="81"/>
        <v>87266175</v>
      </c>
      <c r="AL248" s="65">
        <f>AK248/AB248*100</f>
        <v>58.17745</v>
      </c>
      <c r="AM248" s="65">
        <f>SUM(AM251:AM269)</f>
        <v>0</v>
      </c>
      <c r="AN248" s="65">
        <f>SUM(AN251:AN269)</f>
        <v>0</v>
      </c>
      <c r="AO248" s="65">
        <f>SUM(AO251:AO269)</f>
        <v>0</v>
      </c>
      <c r="AP248" s="65">
        <f>SUM(AP251:AP269)</f>
        <v>0</v>
      </c>
      <c r="AQ248" s="65">
        <f>AK248+AM248+AN248+AO248+AP248</f>
        <v>87266175</v>
      </c>
      <c r="AR248" s="65">
        <f>AQ248/AB248*100</f>
        <v>58.17745</v>
      </c>
      <c r="AS248" s="65">
        <f>AB248-AQ248</f>
        <v>62733825</v>
      </c>
      <c r="AT248" s="65">
        <f>SUM(AT251:AT257)</f>
        <v>12366000</v>
      </c>
      <c r="AU248" s="65">
        <f>AT248+U248</f>
        <v>12366000</v>
      </c>
      <c r="AV248" s="65">
        <f>AK248</f>
        <v>87266175</v>
      </c>
      <c r="AW248" s="66">
        <f>AV248/AU248*100</f>
        <v>705.69444444444446</v>
      </c>
      <c r="AX248" s="65">
        <f>AU248-AV248</f>
        <v>-74900175</v>
      </c>
      <c r="AY248" s="65">
        <f>AS248/AB248*100</f>
        <v>41.82255</v>
      </c>
      <c r="AZ248" s="67">
        <f t="shared" si="78"/>
        <v>87266175</v>
      </c>
      <c r="BA248" s="29">
        <f>AS248</f>
        <v>62733825</v>
      </c>
    </row>
    <row r="249" spans="1:53" ht="20.100000000000001" customHeight="1">
      <c r="A249" s="68"/>
      <c r="B249" s="69"/>
      <c r="C249" s="240" t="s">
        <v>436</v>
      </c>
      <c r="D249" s="240"/>
      <c r="E249" s="241"/>
      <c r="F249" s="70"/>
      <c r="G249" s="71"/>
      <c r="H249" s="240" t="s">
        <v>10</v>
      </c>
      <c r="I249" s="240"/>
      <c r="J249" s="240"/>
      <c r="K249" s="241"/>
      <c r="L249" s="49"/>
      <c r="M249" s="49"/>
      <c r="N249" s="49"/>
      <c r="O249" s="49"/>
      <c r="P249" s="49"/>
      <c r="Q249" s="49"/>
      <c r="R249" s="72"/>
      <c r="S249" s="49"/>
      <c r="T249" s="49"/>
      <c r="U249" s="49"/>
      <c r="V249" s="49"/>
      <c r="W249" s="49"/>
      <c r="X249" s="49"/>
      <c r="Y249" s="49"/>
      <c r="Z249" s="49"/>
      <c r="AA249" s="49"/>
      <c r="AB249" s="49"/>
      <c r="AC249" s="49">
        <f t="shared" si="80"/>
        <v>0</v>
      </c>
      <c r="AD249" s="49"/>
      <c r="AE249" s="49"/>
      <c r="AF249" s="49"/>
      <c r="AG249" s="49"/>
      <c r="AH249" s="49"/>
      <c r="AI249" s="49"/>
      <c r="AJ249" s="49"/>
      <c r="AK249" s="49"/>
      <c r="AL249" s="49"/>
      <c r="AM249" s="49"/>
      <c r="AN249" s="49"/>
      <c r="AO249" s="49"/>
      <c r="AP249" s="49"/>
      <c r="AQ249" s="49"/>
      <c r="AR249" s="49"/>
      <c r="AS249" s="49"/>
      <c r="AT249" s="49"/>
      <c r="AU249" s="49"/>
      <c r="AV249" s="49"/>
      <c r="AW249" s="49"/>
      <c r="AX249" s="49"/>
      <c r="AY249" s="49"/>
      <c r="AZ249" s="73">
        <f t="shared" si="78"/>
        <v>0</v>
      </c>
      <c r="BA249" s="73"/>
    </row>
    <row r="250" spans="1:53" ht="20.100000000000001" customHeight="1">
      <c r="A250" s="68"/>
      <c r="B250" s="69"/>
      <c r="C250" s="240" t="s">
        <v>437</v>
      </c>
      <c r="D250" s="240"/>
      <c r="E250" s="241"/>
      <c r="F250" s="70"/>
      <c r="G250" s="71"/>
      <c r="H250" s="71"/>
      <c r="I250" s="240" t="s">
        <v>177</v>
      </c>
      <c r="J250" s="240"/>
      <c r="K250" s="241"/>
      <c r="L250" s="49"/>
      <c r="M250" s="49"/>
      <c r="N250" s="49"/>
      <c r="O250" s="49"/>
      <c r="P250" s="49"/>
      <c r="Q250" s="49"/>
      <c r="R250" s="72"/>
      <c r="S250" s="49"/>
      <c r="T250" s="49"/>
      <c r="U250" s="49"/>
      <c r="V250" s="49"/>
      <c r="W250" s="49"/>
      <c r="X250" s="49"/>
      <c r="Y250" s="49"/>
      <c r="Z250" s="49"/>
      <c r="AA250" s="49"/>
      <c r="AB250" s="49"/>
      <c r="AC250" s="49">
        <f t="shared" si="80"/>
        <v>0</v>
      </c>
      <c r="AD250" s="49"/>
      <c r="AE250" s="49"/>
      <c r="AF250" s="49"/>
      <c r="AG250" s="49"/>
      <c r="AH250" s="49"/>
      <c r="AI250" s="49"/>
      <c r="AJ250" s="49"/>
      <c r="AK250" s="49"/>
      <c r="AL250" s="49"/>
      <c r="AM250" s="49"/>
      <c r="AN250" s="49"/>
      <c r="AO250" s="49"/>
      <c r="AP250" s="49"/>
      <c r="AQ250" s="49"/>
      <c r="AR250" s="49"/>
      <c r="AS250" s="49"/>
      <c r="AT250" s="49"/>
      <c r="AU250" s="49"/>
      <c r="AV250" s="49"/>
      <c r="AW250" s="49"/>
      <c r="AX250" s="49"/>
      <c r="AY250" s="49"/>
      <c r="AZ250" s="73">
        <f t="shared" si="78"/>
        <v>0</v>
      </c>
      <c r="BA250" s="73"/>
    </row>
    <row r="251" spans="1:53" ht="20.100000000000001" customHeight="1">
      <c r="A251" s="68"/>
      <c r="B251" s="69"/>
      <c r="C251" s="240" t="s">
        <v>438</v>
      </c>
      <c r="D251" s="240"/>
      <c r="E251" s="241"/>
      <c r="F251" s="70"/>
      <c r="G251" s="71"/>
      <c r="H251" s="71"/>
      <c r="I251" s="71"/>
      <c r="J251" s="240" t="s">
        <v>283</v>
      </c>
      <c r="K251" s="241"/>
      <c r="L251" s="49">
        <v>3680000</v>
      </c>
      <c r="M251" s="49">
        <v>0</v>
      </c>
      <c r="N251" s="49"/>
      <c r="O251" s="49"/>
      <c r="P251" s="49"/>
      <c r="Q251" s="49">
        <f>SUM(N251:P251)</f>
        <v>0</v>
      </c>
      <c r="R251" s="72"/>
      <c r="S251" s="49">
        <f>M251-Q251</f>
        <v>0</v>
      </c>
      <c r="T251" s="49">
        <v>0</v>
      </c>
      <c r="U251" s="49">
        <f>T251+M251</f>
        <v>0</v>
      </c>
      <c r="V251" s="49">
        <f>T251+S251</f>
        <v>0</v>
      </c>
      <c r="W251" s="49"/>
      <c r="X251" s="49"/>
      <c r="Y251" s="49"/>
      <c r="Z251" s="49"/>
      <c r="AA251" s="49">
        <v>3680000</v>
      </c>
      <c r="AB251" s="49">
        <v>3680000</v>
      </c>
      <c r="AC251" s="49">
        <f t="shared" si="80"/>
        <v>0</v>
      </c>
      <c r="AD251" s="49">
        <f>AA251+T251+M251</f>
        <v>3680000</v>
      </c>
      <c r="AE251" s="49"/>
      <c r="AF251" s="49"/>
      <c r="AG251" s="49"/>
      <c r="AH251" s="49">
        <v>3680000</v>
      </c>
      <c r="AI251" s="49"/>
      <c r="AJ251" s="49"/>
      <c r="AK251" s="49">
        <f>Z251+Y251+X251+W251+N251+AG251+AJ251+AI251+AH251</f>
        <v>3680000</v>
      </c>
      <c r="AL251" s="49">
        <f>AK251/AD251*100</f>
        <v>100</v>
      </c>
      <c r="AM251" s="49"/>
      <c r="AN251" s="49"/>
      <c r="AO251" s="49"/>
      <c r="AP251" s="49"/>
      <c r="AQ251" s="49">
        <f>AK251+AM251+AN251+AO251+AP251</f>
        <v>3680000</v>
      </c>
      <c r="AR251" s="49">
        <f>AQ251/AB251*100</f>
        <v>100</v>
      </c>
      <c r="AS251" s="49">
        <f>AB251-AQ251</f>
        <v>0</v>
      </c>
      <c r="AT251" s="49">
        <v>3091500</v>
      </c>
      <c r="AU251" s="49">
        <f>AT251+U251</f>
        <v>3091500</v>
      </c>
      <c r="AV251" s="49">
        <f>AK251</f>
        <v>3680000</v>
      </c>
      <c r="AW251" s="72">
        <f>AV251/AU251*100</f>
        <v>119.03606663431991</v>
      </c>
      <c r="AX251" s="49">
        <f>AU251-AV251</f>
        <v>-588500</v>
      </c>
      <c r="AY251" s="49">
        <f>AS251/AB251*100</f>
        <v>0</v>
      </c>
      <c r="AZ251" s="73">
        <f t="shared" si="78"/>
        <v>3680000</v>
      </c>
      <c r="BA251" s="73"/>
    </row>
    <row r="252" spans="1:53" ht="20.100000000000001" customHeight="1">
      <c r="A252" s="68"/>
      <c r="B252" s="69"/>
      <c r="C252" s="240" t="s">
        <v>439</v>
      </c>
      <c r="D252" s="240"/>
      <c r="E252" s="241"/>
      <c r="F252" s="70"/>
      <c r="G252" s="71"/>
      <c r="H252" s="71"/>
      <c r="I252" s="71"/>
      <c r="J252" s="240" t="s">
        <v>384</v>
      </c>
      <c r="K252" s="241"/>
      <c r="L252" s="49">
        <v>670000</v>
      </c>
      <c r="M252" s="49">
        <v>0</v>
      </c>
      <c r="N252" s="49"/>
      <c r="O252" s="49"/>
      <c r="P252" s="49"/>
      <c r="Q252" s="49">
        <f>SUM(N252:P252)</f>
        <v>0</v>
      </c>
      <c r="R252" s="72"/>
      <c r="S252" s="49">
        <f>M252-Q252</f>
        <v>0</v>
      </c>
      <c r="T252" s="49">
        <v>0</v>
      </c>
      <c r="U252" s="49">
        <f>T252+M252</f>
        <v>0</v>
      </c>
      <c r="V252" s="49">
        <f>T252+S252</f>
        <v>0</v>
      </c>
      <c r="W252" s="49"/>
      <c r="X252" s="49"/>
      <c r="Y252" s="49"/>
      <c r="Z252" s="49"/>
      <c r="AA252" s="49">
        <v>670000</v>
      </c>
      <c r="AB252" s="49">
        <v>670000</v>
      </c>
      <c r="AC252" s="49">
        <f t="shared" si="80"/>
        <v>0</v>
      </c>
      <c r="AD252" s="49">
        <f>AA252+T252+M252</f>
        <v>670000</v>
      </c>
      <c r="AE252" s="49"/>
      <c r="AF252" s="49"/>
      <c r="AG252" s="49"/>
      <c r="AH252" s="49">
        <v>670000</v>
      </c>
      <c r="AI252" s="49"/>
      <c r="AJ252" s="49"/>
      <c r="AK252" s="49">
        <f>Z252+Y252+X252+W252+N252+AG252+AJ252+AI252+AH252</f>
        <v>670000</v>
      </c>
      <c r="AL252" s="49">
        <f>AK252/AD252*100</f>
        <v>100</v>
      </c>
      <c r="AM252" s="49"/>
      <c r="AN252" s="49"/>
      <c r="AO252" s="49"/>
      <c r="AP252" s="49"/>
      <c r="AQ252" s="49">
        <f>AK252+AM252+AN252+AO252+AP252</f>
        <v>670000</v>
      </c>
      <c r="AR252" s="49">
        <f>AQ252/AB252*100</f>
        <v>100</v>
      </c>
      <c r="AS252" s="49">
        <f>AB252-AQ252</f>
        <v>0</v>
      </c>
      <c r="AT252" s="49">
        <v>3091500</v>
      </c>
      <c r="AU252" s="49">
        <f>AT252+U252</f>
        <v>3091500</v>
      </c>
      <c r="AV252" s="49">
        <f>AK252</f>
        <v>670000</v>
      </c>
      <c r="AW252" s="72">
        <f>AV252/AU252*100</f>
        <v>21.672327349183242</v>
      </c>
      <c r="AX252" s="49">
        <f>AU252-AV252</f>
        <v>2421500</v>
      </c>
      <c r="AY252" s="49">
        <f>AS252/AB252*100</f>
        <v>0</v>
      </c>
      <c r="AZ252" s="73">
        <f t="shared" si="78"/>
        <v>670000</v>
      </c>
      <c r="BA252" s="73"/>
    </row>
    <row r="253" spans="1:53" ht="20.100000000000001" customHeight="1">
      <c r="A253" s="68"/>
      <c r="B253" s="69"/>
      <c r="C253" s="240" t="s">
        <v>440</v>
      </c>
      <c r="D253" s="240"/>
      <c r="E253" s="241"/>
      <c r="F253" s="70"/>
      <c r="G253" s="71"/>
      <c r="H253" s="240" t="s">
        <v>143</v>
      </c>
      <c r="I253" s="240"/>
      <c r="J253" s="240"/>
      <c r="K253" s="241"/>
      <c r="L253" s="49"/>
      <c r="M253" s="49"/>
      <c r="N253" s="49"/>
      <c r="O253" s="49"/>
      <c r="P253" s="49"/>
      <c r="Q253" s="49"/>
      <c r="R253" s="72"/>
      <c r="S253" s="49"/>
      <c r="T253" s="49"/>
      <c r="U253" s="49"/>
      <c r="V253" s="49"/>
      <c r="W253" s="49"/>
      <c r="X253" s="49"/>
      <c r="Y253" s="49"/>
      <c r="Z253" s="49"/>
      <c r="AA253" s="49"/>
      <c r="AB253" s="49"/>
      <c r="AC253" s="49">
        <f t="shared" si="80"/>
        <v>0</v>
      </c>
      <c r="AD253" s="49"/>
      <c r="AE253" s="49"/>
      <c r="AF253" s="49"/>
      <c r="AG253" s="49"/>
      <c r="AH253" s="49"/>
      <c r="AI253" s="49"/>
      <c r="AJ253" s="49"/>
      <c r="AK253" s="49"/>
      <c r="AL253" s="49"/>
      <c r="AM253" s="49"/>
      <c r="AN253" s="49"/>
      <c r="AO253" s="49"/>
      <c r="AP253" s="49"/>
      <c r="AQ253" s="49"/>
      <c r="AR253" s="49"/>
      <c r="AS253" s="49"/>
      <c r="AT253" s="49"/>
      <c r="AU253" s="49"/>
      <c r="AV253" s="49"/>
      <c r="AW253" s="49"/>
      <c r="AX253" s="49"/>
      <c r="AY253" s="49"/>
      <c r="AZ253" s="73">
        <f t="shared" si="78"/>
        <v>0</v>
      </c>
      <c r="BA253" s="73"/>
    </row>
    <row r="254" spans="1:53" ht="20.100000000000001" customHeight="1">
      <c r="A254" s="68"/>
      <c r="B254" s="69"/>
      <c r="C254" s="240" t="s">
        <v>441</v>
      </c>
      <c r="D254" s="240"/>
      <c r="E254" s="241"/>
      <c r="F254" s="70"/>
      <c r="G254" s="71"/>
      <c r="H254" s="71"/>
      <c r="I254" s="240" t="s">
        <v>145</v>
      </c>
      <c r="J254" s="240"/>
      <c r="K254" s="241"/>
      <c r="L254" s="49"/>
      <c r="M254" s="49"/>
      <c r="N254" s="49"/>
      <c r="O254" s="49"/>
      <c r="P254" s="49"/>
      <c r="Q254" s="49"/>
      <c r="R254" s="72"/>
      <c r="S254" s="49"/>
      <c r="T254" s="49"/>
      <c r="U254" s="49"/>
      <c r="V254" s="49"/>
      <c r="W254" s="49"/>
      <c r="X254" s="49"/>
      <c r="Y254" s="49"/>
      <c r="Z254" s="49"/>
      <c r="AA254" s="49"/>
      <c r="AB254" s="49"/>
      <c r="AC254" s="49">
        <f t="shared" si="80"/>
        <v>0</v>
      </c>
      <c r="AD254" s="49"/>
      <c r="AE254" s="49"/>
      <c r="AF254" s="49"/>
      <c r="AG254" s="49"/>
      <c r="AH254" s="49"/>
      <c r="AI254" s="49"/>
      <c r="AJ254" s="49"/>
      <c r="AK254" s="49"/>
      <c r="AL254" s="49"/>
      <c r="AM254" s="49"/>
      <c r="AN254" s="49"/>
      <c r="AO254" s="49"/>
      <c r="AP254" s="49"/>
      <c r="AQ254" s="49"/>
      <c r="AR254" s="49"/>
      <c r="AS254" s="49"/>
      <c r="AT254" s="49"/>
      <c r="AU254" s="49"/>
      <c r="AV254" s="49"/>
      <c r="AW254" s="49"/>
      <c r="AX254" s="49"/>
      <c r="AY254" s="49"/>
      <c r="AZ254" s="73">
        <f t="shared" si="78"/>
        <v>0</v>
      </c>
      <c r="BA254" s="73"/>
    </row>
    <row r="255" spans="1:53" ht="20.100000000000001" customHeight="1">
      <c r="A255" s="68"/>
      <c r="B255" s="69"/>
      <c r="C255" s="240" t="s">
        <v>442</v>
      </c>
      <c r="D255" s="240"/>
      <c r="E255" s="241"/>
      <c r="F255" s="70"/>
      <c r="G255" s="71"/>
      <c r="H255" s="71"/>
      <c r="I255" s="71"/>
      <c r="J255" s="240" t="s">
        <v>147</v>
      </c>
      <c r="K255" s="241"/>
      <c r="L255" s="49">
        <v>3233000</v>
      </c>
      <c r="M255" s="49">
        <v>0</v>
      </c>
      <c r="N255" s="49"/>
      <c r="O255" s="49"/>
      <c r="P255" s="49"/>
      <c r="Q255" s="49">
        <f>SUM(N255:P255)</f>
        <v>0</v>
      </c>
      <c r="R255" s="72"/>
      <c r="S255" s="49">
        <f>M255-Q255</f>
        <v>0</v>
      </c>
      <c r="T255" s="49">
        <v>0</v>
      </c>
      <c r="U255" s="49">
        <f>T255+M255</f>
        <v>0</v>
      </c>
      <c r="V255" s="49">
        <f>T255+S255</f>
        <v>0</v>
      </c>
      <c r="W255" s="49"/>
      <c r="X255" s="49"/>
      <c r="Y255" s="49"/>
      <c r="Z255" s="49"/>
      <c r="AA255" s="49">
        <v>3233000</v>
      </c>
      <c r="AB255" s="49">
        <v>3233000</v>
      </c>
      <c r="AC255" s="49">
        <f t="shared" si="80"/>
        <v>0</v>
      </c>
      <c r="AD255" s="49">
        <f>AA255+T255+M255</f>
        <v>3233000</v>
      </c>
      <c r="AE255" s="49"/>
      <c r="AF255" s="49"/>
      <c r="AG255" s="49"/>
      <c r="AH255" s="49">
        <v>1873000</v>
      </c>
      <c r="AI255" s="49"/>
      <c r="AJ255" s="49"/>
      <c r="AK255" s="49">
        <f>Z255+Y255+X255+W255+N255+AG255+AJ255+AI255+AH255</f>
        <v>1873000</v>
      </c>
      <c r="AL255" s="49">
        <f>AK255/AD255*100</f>
        <v>57.933807609031859</v>
      </c>
      <c r="AM255" s="49"/>
      <c r="AN255" s="49"/>
      <c r="AO255" s="49"/>
      <c r="AP255" s="49"/>
      <c r="AQ255" s="49">
        <f>AK255+AM255+AN255+AO255+AP255</f>
        <v>1873000</v>
      </c>
      <c r="AR255" s="49">
        <f>AQ255/AB255*100</f>
        <v>57.933807609031859</v>
      </c>
      <c r="AS255" s="49">
        <f>AB255-AQ255</f>
        <v>1360000</v>
      </c>
      <c r="AT255" s="49">
        <v>3091500</v>
      </c>
      <c r="AU255" s="49">
        <f>AT255+U255</f>
        <v>3091500</v>
      </c>
      <c r="AV255" s="49">
        <f>AK255</f>
        <v>1873000</v>
      </c>
      <c r="AW255" s="72">
        <f>AV255/AU255*100</f>
        <v>60.585476306000317</v>
      </c>
      <c r="AX255" s="49">
        <f>AU255-AV255</f>
        <v>1218500</v>
      </c>
      <c r="AY255" s="49">
        <f>AS255/AB255*100</f>
        <v>42.066192390968141</v>
      </c>
      <c r="AZ255" s="73">
        <f t="shared" si="78"/>
        <v>1873000</v>
      </c>
      <c r="BA255" s="73"/>
    </row>
    <row r="256" spans="1:53" ht="20.100000000000001" customHeight="1">
      <c r="A256" s="68"/>
      <c r="B256" s="69"/>
      <c r="C256" s="240" t="s">
        <v>443</v>
      </c>
      <c r="D256" s="240"/>
      <c r="E256" s="241"/>
      <c r="F256" s="70"/>
      <c r="G256" s="71"/>
      <c r="H256" s="71"/>
      <c r="I256" s="240" t="s">
        <v>389</v>
      </c>
      <c r="J256" s="240"/>
      <c r="K256" s="241"/>
      <c r="L256" s="49"/>
      <c r="M256" s="49"/>
      <c r="N256" s="49"/>
      <c r="O256" s="49"/>
      <c r="P256" s="49"/>
      <c r="Q256" s="49"/>
      <c r="R256" s="72"/>
      <c r="S256" s="49"/>
      <c r="T256" s="49"/>
      <c r="U256" s="49"/>
      <c r="V256" s="49"/>
      <c r="W256" s="49"/>
      <c r="X256" s="49"/>
      <c r="Y256" s="49"/>
      <c r="Z256" s="49"/>
      <c r="AA256" s="49"/>
      <c r="AB256" s="49"/>
      <c r="AC256" s="49">
        <f t="shared" si="80"/>
        <v>0</v>
      </c>
      <c r="AD256" s="49"/>
      <c r="AE256" s="49"/>
      <c r="AF256" s="49"/>
      <c r="AG256" s="49"/>
      <c r="AH256" s="49"/>
      <c r="AI256" s="49"/>
      <c r="AJ256" s="49"/>
      <c r="AK256" s="49"/>
      <c r="AL256" s="49"/>
      <c r="AM256" s="49"/>
      <c r="AN256" s="49"/>
      <c r="AO256" s="49"/>
      <c r="AP256" s="49"/>
      <c r="AQ256" s="49"/>
      <c r="AR256" s="49"/>
      <c r="AS256" s="49"/>
      <c r="AT256" s="49"/>
      <c r="AU256" s="49"/>
      <c r="AV256" s="49"/>
      <c r="AW256" s="49"/>
      <c r="AX256" s="49"/>
      <c r="AY256" s="49"/>
      <c r="AZ256" s="73">
        <f t="shared" si="78"/>
        <v>0</v>
      </c>
      <c r="BA256" s="73"/>
    </row>
    <row r="257" spans="1:53" ht="20.100000000000001" customHeight="1">
      <c r="A257" s="68"/>
      <c r="B257" s="69"/>
      <c r="C257" s="240" t="s">
        <v>444</v>
      </c>
      <c r="D257" s="240"/>
      <c r="E257" s="241"/>
      <c r="F257" s="70"/>
      <c r="G257" s="71"/>
      <c r="H257" s="71"/>
      <c r="I257" s="71"/>
      <c r="J257" s="240" t="s">
        <v>391</v>
      </c>
      <c r="K257" s="241"/>
      <c r="L257" s="49">
        <v>30494700</v>
      </c>
      <c r="M257" s="49">
        <v>0</v>
      </c>
      <c r="N257" s="49"/>
      <c r="O257" s="49"/>
      <c r="P257" s="49"/>
      <c r="Q257" s="49">
        <f>SUM(N257:P257)</f>
        <v>0</v>
      </c>
      <c r="R257" s="72"/>
      <c r="S257" s="49">
        <f>M257-Q257</f>
        <v>0</v>
      </c>
      <c r="T257" s="49">
        <v>0</v>
      </c>
      <c r="U257" s="49">
        <f>T257+M257</f>
        <v>0</v>
      </c>
      <c r="V257" s="49">
        <f>T257+S257</f>
        <v>0</v>
      </c>
      <c r="W257" s="49"/>
      <c r="X257" s="49"/>
      <c r="Y257" s="49"/>
      <c r="Z257" s="49"/>
      <c r="AA257" s="49">
        <v>30494700</v>
      </c>
      <c r="AB257" s="49">
        <v>30494700</v>
      </c>
      <c r="AC257" s="49">
        <f t="shared" si="80"/>
        <v>0</v>
      </c>
      <c r="AD257" s="49">
        <f>AA257+T257+M257</f>
        <v>30494700</v>
      </c>
      <c r="AE257" s="49"/>
      <c r="AF257" s="49"/>
      <c r="AG257" s="49"/>
      <c r="AH257" s="49">
        <f>13416000</f>
        <v>13416000</v>
      </c>
      <c r="AI257" s="49"/>
      <c r="AJ257" s="49"/>
      <c r="AK257" s="49">
        <f>Z257+Y257+X257+W257+N257+AG257+AJ257+AI257+AH257</f>
        <v>13416000</v>
      </c>
      <c r="AL257" s="49">
        <f>AK257/AD257*100</f>
        <v>43.994530197050636</v>
      </c>
      <c r="AM257" s="49"/>
      <c r="AN257" s="49"/>
      <c r="AO257" s="49"/>
      <c r="AP257" s="49"/>
      <c r="AQ257" s="49">
        <f>AK257+AM257+AN257+AO257+AP257</f>
        <v>13416000</v>
      </c>
      <c r="AR257" s="49">
        <f>AQ257/AB257*100</f>
        <v>43.994530197050636</v>
      </c>
      <c r="AS257" s="49">
        <f>AB257-AQ257</f>
        <v>17078700</v>
      </c>
      <c r="AT257" s="49">
        <v>3091500</v>
      </c>
      <c r="AU257" s="49">
        <f>AT257+U257</f>
        <v>3091500</v>
      </c>
      <c r="AV257" s="49">
        <f>AK257</f>
        <v>13416000</v>
      </c>
      <c r="AW257" s="72">
        <f>AV257/AU257*100</f>
        <v>433.96409509946625</v>
      </c>
      <c r="AX257" s="49">
        <f>AU257-AV257</f>
        <v>-10324500</v>
      </c>
      <c r="AY257" s="49">
        <f>AS257/AB257*100</f>
        <v>56.005469802949371</v>
      </c>
      <c r="AZ257" s="73">
        <f t="shared" si="78"/>
        <v>13416000</v>
      </c>
      <c r="BA257" s="73"/>
    </row>
    <row r="258" spans="1:53" ht="20.100000000000001" customHeight="1">
      <c r="A258" s="68"/>
      <c r="B258" s="69"/>
      <c r="C258" s="240" t="s">
        <v>445</v>
      </c>
      <c r="D258" s="240"/>
      <c r="E258" s="241"/>
      <c r="F258" s="70"/>
      <c r="G258" s="71"/>
      <c r="H258" s="71"/>
      <c r="I258" s="240" t="s">
        <v>163</v>
      </c>
      <c r="J258" s="240"/>
      <c r="K258" s="241"/>
      <c r="L258" s="49"/>
      <c r="M258" s="49"/>
      <c r="N258" s="49"/>
      <c r="O258" s="49"/>
      <c r="P258" s="49"/>
      <c r="Q258" s="49"/>
      <c r="R258" s="72"/>
      <c r="S258" s="49"/>
      <c r="T258" s="49"/>
      <c r="U258" s="49"/>
      <c r="V258" s="49"/>
      <c r="W258" s="49"/>
      <c r="X258" s="49"/>
      <c r="Y258" s="49"/>
      <c r="Z258" s="49"/>
      <c r="AA258" s="49"/>
      <c r="AB258" s="49"/>
      <c r="AC258" s="49">
        <f t="shared" si="80"/>
        <v>0</v>
      </c>
      <c r="AD258" s="49"/>
      <c r="AE258" s="49"/>
      <c r="AF258" s="49"/>
      <c r="AG258" s="49"/>
      <c r="AH258" s="49"/>
      <c r="AI258" s="49"/>
      <c r="AJ258" s="49"/>
      <c r="AK258" s="49"/>
      <c r="AL258" s="49"/>
      <c r="AM258" s="49"/>
      <c r="AN258" s="49"/>
      <c r="AO258" s="49"/>
      <c r="AP258" s="49"/>
      <c r="AQ258" s="49"/>
      <c r="AR258" s="49"/>
      <c r="AS258" s="49"/>
      <c r="AT258" s="49"/>
      <c r="AU258" s="49"/>
      <c r="AV258" s="49"/>
      <c r="AW258" s="49"/>
      <c r="AX258" s="49"/>
      <c r="AY258" s="49"/>
      <c r="AZ258" s="73">
        <f t="shared" si="78"/>
        <v>0</v>
      </c>
      <c r="BA258" s="73"/>
    </row>
    <row r="259" spans="1:53" ht="20.100000000000001" customHeight="1">
      <c r="A259" s="68"/>
      <c r="B259" s="69"/>
      <c r="C259" s="240" t="s">
        <v>446</v>
      </c>
      <c r="D259" s="240"/>
      <c r="E259" s="241"/>
      <c r="F259" s="70"/>
      <c r="G259" s="71"/>
      <c r="H259" s="71"/>
      <c r="I259" s="71"/>
      <c r="J259" s="240" t="s">
        <v>447</v>
      </c>
      <c r="K259" s="241"/>
      <c r="L259" s="49">
        <v>60000000</v>
      </c>
      <c r="M259" s="49">
        <v>0</v>
      </c>
      <c r="N259" s="49"/>
      <c r="O259" s="49"/>
      <c r="P259" s="49"/>
      <c r="Q259" s="49">
        <f>SUM(N259:P259)</f>
        <v>0</v>
      </c>
      <c r="R259" s="72"/>
      <c r="S259" s="49">
        <f>M259-Q259</f>
        <v>0</v>
      </c>
      <c r="T259" s="49">
        <v>0</v>
      </c>
      <c r="U259" s="49">
        <f>T259+M259</f>
        <v>0</v>
      </c>
      <c r="V259" s="49">
        <f>T259+S259</f>
        <v>0</v>
      </c>
      <c r="W259" s="49"/>
      <c r="X259" s="49"/>
      <c r="Y259" s="49"/>
      <c r="Z259" s="49"/>
      <c r="AA259" s="49">
        <v>60000000</v>
      </c>
      <c r="AB259" s="49">
        <v>60000000</v>
      </c>
      <c r="AC259" s="49">
        <f t="shared" si="80"/>
        <v>0</v>
      </c>
      <c r="AD259" s="49">
        <f>AA259+T259+M259</f>
        <v>60000000</v>
      </c>
      <c r="AE259" s="49"/>
      <c r="AF259" s="49"/>
      <c r="AG259" s="49"/>
      <c r="AH259" s="49">
        <v>30000000</v>
      </c>
      <c r="AI259" s="49"/>
      <c r="AJ259" s="49"/>
      <c r="AK259" s="49">
        <f>Z259+Y259+X259+W259+N259+AG259+AJ259+AI259+AH259</f>
        <v>30000000</v>
      </c>
      <c r="AL259" s="49">
        <f>AK259/AD259*100</f>
        <v>50</v>
      </c>
      <c r="AM259" s="49"/>
      <c r="AN259" s="49"/>
      <c r="AO259" s="49"/>
      <c r="AP259" s="49"/>
      <c r="AQ259" s="49">
        <f>AK259+AM259+AN259+AO259+AP259</f>
        <v>30000000</v>
      </c>
      <c r="AR259" s="49">
        <f>AQ259/AB259*100</f>
        <v>50</v>
      </c>
      <c r="AS259" s="49">
        <f>AB259-AQ259</f>
        <v>30000000</v>
      </c>
      <c r="AT259" s="49">
        <v>3091500</v>
      </c>
      <c r="AU259" s="49">
        <f>AT259+U259</f>
        <v>3091500</v>
      </c>
      <c r="AV259" s="49">
        <f>AK259</f>
        <v>30000000</v>
      </c>
      <c r="AW259" s="72">
        <f>AV259/AU259*100</f>
        <v>970.40271712760796</v>
      </c>
      <c r="AX259" s="49">
        <f>AU259-AV259</f>
        <v>-26908500</v>
      </c>
      <c r="AY259" s="49">
        <f>AS259/AB259*100</f>
        <v>50</v>
      </c>
      <c r="AZ259" s="73">
        <f t="shared" si="78"/>
        <v>30000000</v>
      </c>
      <c r="BA259" s="73"/>
    </row>
    <row r="260" spans="1:53" ht="20.100000000000001" customHeight="1">
      <c r="A260" s="68"/>
      <c r="B260" s="69"/>
      <c r="C260" s="240" t="s">
        <v>448</v>
      </c>
      <c r="D260" s="240"/>
      <c r="E260" s="241"/>
      <c r="F260" s="70"/>
      <c r="G260" s="71"/>
      <c r="H260" s="71"/>
      <c r="I260" s="71"/>
      <c r="J260" s="240" t="s">
        <v>352</v>
      </c>
      <c r="K260" s="241"/>
      <c r="L260" s="49">
        <v>8000000</v>
      </c>
      <c r="M260" s="49">
        <v>0</v>
      </c>
      <c r="N260" s="49"/>
      <c r="O260" s="49"/>
      <c r="P260" s="49"/>
      <c r="Q260" s="49">
        <f>SUM(N260:P260)</f>
        <v>0</v>
      </c>
      <c r="R260" s="72"/>
      <c r="S260" s="49">
        <f>M260-Q260</f>
        <v>0</v>
      </c>
      <c r="T260" s="49">
        <v>0</v>
      </c>
      <c r="U260" s="49">
        <f>T260+M260</f>
        <v>0</v>
      </c>
      <c r="V260" s="49">
        <f>T260+S260</f>
        <v>0</v>
      </c>
      <c r="W260" s="49"/>
      <c r="X260" s="49"/>
      <c r="Y260" s="49"/>
      <c r="Z260" s="49"/>
      <c r="AA260" s="49">
        <v>8000000</v>
      </c>
      <c r="AB260" s="49">
        <v>8000000</v>
      </c>
      <c r="AC260" s="49">
        <f t="shared" si="80"/>
        <v>0</v>
      </c>
      <c r="AD260" s="49">
        <f>AA260+T260+M260</f>
        <v>8000000</v>
      </c>
      <c r="AE260" s="49"/>
      <c r="AF260" s="49"/>
      <c r="AG260" s="49"/>
      <c r="AH260" s="49">
        <v>4000000</v>
      </c>
      <c r="AI260" s="49"/>
      <c r="AJ260" s="49"/>
      <c r="AK260" s="49">
        <f>Z260+Y260+X260+W260+N260+AG260+AJ260+AI260+AH260</f>
        <v>4000000</v>
      </c>
      <c r="AL260" s="49">
        <f>AK260/AD260*100</f>
        <v>50</v>
      </c>
      <c r="AM260" s="49"/>
      <c r="AN260" s="49"/>
      <c r="AO260" s="49"/>
      <c r="AP260" s="49"/>
      <c r="AQ260" s="49">
        <f>AK260+AM260+AN260+AO260+AP260</f>
        <v>4000000</v>
      </c>
      <c r="AR260" s="49">
        <f>AQ260/AB260*100</f>
        <v>50</v>
      </c>
      <c r="AS260" s="49">
        <f>AB260-AQ260</f>
        <v>4000000</v>
      </c>
      <c r="AT260" s="49">
        <v>3091500</v>
      </c>
      <c r="AU260" s="49">
        <f>AT260+U260</f>
        <v>3091500</v>
      </c>
      <c r="AV260" s="49">
        <f>AK260</f>
        <v>4000000</v>
      </c>
      <c r="AW260" s="72">
        <f>AV260/AU260*100</f>
        <v>129.38702895034771</v>
      </c>
      <c r="AX260" s="49">
        <f>AU260-AV260</f>
        <v>-908500</v>
      </c>
      <c r="AY260" s="49">
        <f>AS260/AB260*100</f>
        <v>50</v>
      </c>
      <c r="AZ260" s="73">
        <f t="shared" si="78"/>
        <v>4000000</v>
      </c>
      <c r="BA260" s="73"/>
    </row>
    <row r="261" spans="1:53" ht="20.100000000000001" customHeight="1">
      <c r="A261" s="68"/>
      <c r="B261" s="69"/>
      <c r="C261" s="240" t="s">
        <v>449</v>
      </c>
      <c r="D261" s="240"/>
      <c r="E261" s="241"/>
      <c r="F261" s="70"/>
      <c r="G261" s="71"/>
      <c r="H261" s="71"/>
      <c r="I261" s="240" t="s">
        <v>151</v>
      </c>
      <c r="J261" s="240"/>
      <c r="K261" s="241"/>
      <c r="L261" s="49"/>
      <c r="M261" s="49"/>
      <c r="N261" s="49"/>
      <c r="O261" s="49"/>
      <c r="P261" s="49"/>
      <c r="Q261" s="49"/>
      <c r="R261" s="72"/>
      <c r="S261" s="49"/>
      <c r="T261" s="49"/>
      <c r="U261" s="49"/>
      <c r="V261" s="49"/>
      <c r="W261" s="49"/>
      <c r="X261" s="49"/>
      <c r="Y261" s="49"/>
      <c r="Z261" s="49"/>
      <c r="AA261" s="49"/>
      <c r="AB261" s="49"/>
      <c r="AC261" s="49">
        <f t="shared" si="80"/>
        <v>0</v>
      </c>
      <c r="AD261" s="49"/>
      <c r="AE261" s="49"/>
      <c r="AF261" s="49"/>
      <c r="AG261" s="49"/>
      <c r="AH261" s="49"/>
      <c r="AI261" s="49"/>
      <c r="AJ261" s="49"/>
      <c r="AK261" s="49"/>
      <c r="AL261" s="49"/>
      <c r="AM261" s="49"/>
      <c r="AN261" s="49"/>
      <c r="AO261" s="49"/>
      <c r="AP261" s="49"/>
      <c r="AQ261" s="49"/>
      <c r="AR261" s="49"/>
      <c r="AS261" s="49"/>
      <c r="AT261" s="49"/>
      <c r="AU261" s="49"/>
      <c r="AV261" s="49"/>
      <c r="AW261" s="49"/>
      <c r="AX261" s="49"/>
      <c r="AY261" s="49"/>
      <c r="AZ261" s="73">
        <f t="shared" si="78"/>
        <v>0</v>
      </c>
      <c r="BA261" s="73"/>
    </row>
    <row r="262" spans="1:53" ht="20.100000000000001" customHeight="1">
      <c r="A262" s="68"/>
      <c r="B262" s="69"/>
      <c r="C262" s="240" t="s">
        <v>450</v>
      </c>
      <c r="D262" s="240"/>
      <c r="E262" s="241"/>
      <c r="F262" s="70"/>
      <c r="G262" s="71"/>
      <c r="H262" s="71"/>
      <c r="I262" s="71"/>
      <c r="J262" s="240" t="s">
        <v>155</v>
      </c>
      <c r="K262" s="241"/>
      <c r="L262" s="49">
        <v>1617300</v>
      </c>
      <c r="M262" s="49">
        <v>0</v>
      </c>
      <c r="N262" s="49"/>
      <c r="O262" s="49"/>
      <c r="P262" s="49"/>
      <c r="Q262" s="49">
        <f>SUM(N262:P262)</f>
        <v>0</v>
      </c>
      <c r="R262" s="72"/>
      <c r="S262" s="49">
        <f>M262-Q262</f>
        <v>0</v>
      </c>
      <c r="T262" s="49">
        <v>0</v>
      </c>
      <c r="U262" s="49">
        <f>T262+M262</f>
        <v>0</v>
      </c>
      <c r="V262" s="49">
        <f>T262+S262</f>
        <v>0</v>
      </c>
      <c r="W262" s="49"/>
      <c r="X262" s="49"/>
      <c r="Y262" s="49"/>
      <c r="Z262" s="49"/>
      <c r="AA262" s="49">
        <v>1617300</v>
      </c>
      <c r="AB262" s="49">
        <v>1617300</v>
      </c>
      <c r="AC262" s="49">
        <f t="shared" si="80"/>
        <v>0</v>
      </c>
      <c r="AD262" s="49">
        <f>AA262+T262+M262</f>
        <v>1617300</v>
      </c>
      <c r="AE262" s="49"/>
      <c r="AF262" s="49"/>
      <c r="AG262" s="49"/>
      <c r="AH262" s="49">
        <v>1617175</v>
      </c>
      <c r="AI262" s="49"/>
      <c r="AJ262" s="49"/>
      <c r="AK262" s="49">
        <f>Z262+Y262+X262+W262+N262+AG262+AJ262+AI262+AH262</f>
        <v>1617175</v>
      </c>
      <c r="AL262" s="49">
        <f>AK262/AD262*100</f>
        <v>99.992271069065737</v>
      </c>
      <c r="AM262" s="49"/>
      <c r="AN262" s="49"/>
      <c r="AO262" s="49"/>
      <c r="AP262" s="49"/>
      <c r="AQ262" s="49">
        <f>AK262+AM262+AN262+AO262+AP262</f>
        <v>1617175</v>
      </c>
      <c r="AR262" s="49">
        <f>AQ262/AB262*100</f>
        <v>99.992271069065737</v>
      </c>
      <c r="AS262" s="49">
        <f>AB262-AQ262</f>
        <v>125</v>
      </c>
      <c r="AT262" s="49">
        <v>3091500</v>
      </c>
      <c r="AU262" s="49">
        <f>AT262+U262</f>
        <v>3091500</v>
      </c>
      <c r="AV262" s="49">
        <f>AK262</f>
        <v>1617175</v>
      </c>
      <c r="AW262" s="72">
        <f>AV262/AU262*100</f>
        <v>52.310367135694648</v>
      </c>
      <c r="AX262" s="49">
        <f>AU262-AV262</f>
        <v>1474325</v>
      </c>
      <c r="AY262" s="49">
        <f>AS262/AB262*100</f>
        <v>7.7289309342731712E-3</v>
      </c>
      <c r="AZ262" s="73">
        <f t="shared" si="78"/>
        <v>1617175</v>
      </c>
      <c r="BA262" s="73"/>
    </row>
    <row r="263" spans="1:53" ht="20.100000000000001" customHeight="1">
      <c r="A263" s="68"/>
      <c r="B263" s="69"/>
      <c r="C263" s="240" t="s">
        <v>451</v>
      </c>
      <c r="D263" s="240"/>
      <c r="E263" s="241"/>
      <c r="F263" s="70"/>
      <c r="G263" s="71"/>
      <c r="H263" s="71"/>
      <c r="I263" s="240" t="s">
        <v>193</v>
      </c>
      <c r="J263" s="240"/>
      <c r="K263" s="241"/>
      <c r="L263" s="49"/>
      <c r="M263" s="49"/>
      <c r="N263" s="49"/>
      <c r="O263" s="49"/>
      <c r="P263" s="49"/>
      <c r="Q263" s="49"/>
      <c r="R263" s="72"/>
      <c r="S263" s="49"/>
      <c r="T263" s="49"/>
      <c r="U263" s="49"/>
      <c r="V263" s="49"/>
      <c r="W263" s="49"/>
      <c r="X263" s="49"/>
      <c r="Y263" s="49"/>
      <c r="Z263" s="49"/>
      <c r="AA263" s="49"/>
      <c r="AB263" s="49"/>
      <c r="AC263" s="49">
        <f t="shared" si="80"/>
        <v>0</v>
      </c>
      <c r="AD263" s="49"/>
      <c r="AE263" s="49"/>
      <c r="AF263" s="49"/>
      <c r="AG263" s="49"/>
      <c r="AH263" s="49"/>
      <c r="AI263" s="49"/>
      <c r="AJ263" s="49"/>
      <c r="AK263" s="49"/>
      <c r="AL263" s="49"/>
      <c r="AM263" s="49"/>
      <c r="AN263" s="49"/>
      <c r="AO263" s="49"/>
      <c r="AP263" s="49"/>
      <c r="AQ263" s="49"/>
      <c r="AR263" s="49"/>
      <c r="AS263" s="49"/>
      <c r="AT263" s="49"/>
      <c r="AU263" s="49"/>
      <c r="AV263" s="49"/>
      <c r="AW263" s="49"/>
      <c r="AX263" s="49"/>
      <c r="AY263" s="49"/>
      <c r="AZ263" s="73">
        <f t="shared" si="78"/>
        <v>0</v>
      </c>
      <c r="BA263" s="73"/>
    </row>
    <row r="264" spans="1:53" ht="20.100000000000001" customHeight="1">
      <c r="A264" s="68"/>
      <c r="B264" s="69"/>
      <c r="C264" s="240" t="s">
        <v>452</v>
      </c>
      <c r="D264" s="240"/>
      <c r="E264" s="241"/>
      <c r="F264" s="70"/>
      <c r="G264" s="71"/>
      <c r="H264" s="71"/>
      <c r="I264" s="71"/>
      <c r="J264" s="240" t="s">
        <v>195</v>
      </c>
      <c r="K264" s="241"/>
      <c r="L264" s="49">
        <v>16800000</v>
      </c>
      <c r="M264" s="49">
        <v>0</v>
      </c>
      <c r="N264" s="49"/>
      <c r="O264" s="49"/>
      <c r="P264" s="49"/>
      <c r="Q264" s="49">
        <f>SUM(N264:P264)</f>
        <v>0</v>
      </c>
      <c r="R264" s="72"/>
      <c r="S264" s="49">
        <f>M264-Q264</f>
        <v>0</v>
      </c>
      <c r="T264" s="49">
        <v>0</v>
      </c>
      <c r="U264" s="49">
        <f>T264+M264</f>
        <v>0</v>
      </c>
      <c r="V264" s="49">
        <f>T264+S264</f>
        <v>0</v>
      </c>
      <c r="W264" s="49"/>
      <c r="X264" s="49"/>
      <c r="Y264" s="49"/>
      <c r="Z264" s="49"/>
      <c r="AA264" s="49">
        <v>16800000</v>
      </c>
      <c r="AB264" s="49">
        <v>16800000</v>
      </c>
      <c r="AC264" s="49">
        <f t="shared" si="80"/>
        <v>0</v>
      </c>
      <c r="AD264" s="49">
        <f>AA264+T264+M264</f>
        <v>16800000</v>
      </c>
      <c r="AE264" s="49"/>
      <c r="AF264" s="49"/>
      <c r="AG264" s="49"/>
      <c r="AH264" s="49">
        <v>8400000</v>
      </c>
      <c r="AI264" s="49"/>
      <c r="AJ264" s="49"/>
      <c r="AK264" s="49">
        <f>Z264+Y264+X264+W264+N264+AG264+AJ264+AI264+AH264</f>
        <v>8400000</v>
      </c>
      <c r="AL264" s="49">
        <f>AK264/AD264*100</f>
        <v>50</v>
      </c>
      <c r="AM264" s="49"/>
      <c r="AN264" s="49"/>
      <c r="AO264" s="49"/>
      <c r="AP264" s="49"/>
      <c r="AQ264" s="49">
        <f>AK264+AM264+AN264+AO264+AP264</f>
        <v>8400000</v>
      </c>
      <c r="AR264" s="49">
        <f>AQ264/AB264*100</f>
        <v>50</v>
      </c>
      <c r="AS264" s="49">
        <f>AB264-AQ264</f>
        <v>8400000</v>
      </c>
      <c r="AT264" s="49">
        <v>3091500</v>
      </c>
      <c r="AU264" s="49">
        <f>AT264+U264</f>
        <v>3091500</v>
      </c>
      <c r="AV264" s="49">
        <f>AK264</f>
        <v>8400000</v>
      </c>
      <c r="AW264" s="72">
        <f>AV264/AU264*100</f>
        <v>271.71276079573022</v>
      </c>
      <c r="AX264" s="49">
        <f>AU264-AV264</f>
        <v>-5308500</v>
      </c>
      <c r="AY264" s="49">
        <f>AS264/AB264*100</f>
        <v>50</v>
      </c>
      <c r="AZ264" s="73">
        <f t="shared" si="78"/>
        <v>8400000</v>
      </c>
      <c r="BA264" s="73"/>
    </row>
    <row r="265" spans="1:53" ht="20.100000000000001" customHeight="1">
      <c r="A265" s="68"/>
      <c r="B265" s="69"/>
      <c r="C265" s="240" t="s">
        <v>453</v>
      </c>
      <c r="D265" s="240"/>
      <c r="E265" s="241"/>
      <c r="F265" s="70"/>
      <c r="G265" s="71"/>
      <c r="H265" s="71"/>
      <c r="I265" s="240" t="s">
        <v>157</v>
      </c>
      <c r="J265" s="240"/>
      <c r="K265" s="241"/>
      <c r="L265" s="49"/>
      <c r="M265" s="49"/>
      <c r="N265" s="49"/>
      <c r="O265" s="49"/>
      <c r="P265" s="49"/>
      <c r="Q265" s="49"/>
      <c r="R265" s="72"/>
      <c r="S265" s="49"/>
      <c r="T265" s="49"/>
      <c r="U265" s="49"/>
      <c r="V265" s="49"/>
      <c r="W265" s="49"/>
      <c r="X265" s="49"/>
      <c r="Y265" s="49"/>
      <c r="Z265" s="49"/>
      <c r="AA265" s="49"/>
      <c r="AB265" s="49"/>
      <c r="AC265" s="49">
        <f t="shared" si="80"/>
        <v>0</v>
      </c>
      <c r="AD265" s="49"/>
      <c r="AE265" s="49"/>
      <c r="AF265" s="49"/>
      <c r="AG265" s="49"/>
      <c r="AH265" s="49"/>
      <c r="AI265" s="49"/>
      <c r="AJ265" s="49"/>
      <c r="AK265" s="49"/>
      <c r="AL265" s="49"/>
      <c r="AM265" s="49"/>
      <c r="AN265" s="49"/>
      <c r="AO265" s="49"/>
      <c r="AP265" s="49"/>
      <c r="AQ265" s="49"/>
      <c r="AR265" s="49"/>
      <c r="AS265" s="49"/>
      <c r="AT265" s="49"/>
      <c r="AU265" s="49"/>
      <c r="AV265" s="49"/>
      <c r="AW265" s="49"/>
      <c r="AX265" s="49"/>
      <c r="AY265" s="49"/>
      <c r="AZ265" s="73">
        <f t="shared" si="78"/>
        <v>0</v>
      </c>
      <c r="BA265" s="73"/>
    </row>
    <row r="266" spans="1:53" ht="20.100000000000001" customHeight="1">
      <c r="A266" s="68"/>
      <c r="B266" s="69"/>
      <c r="C266" s="240" t="s">
        <v>454</v>
      </c>
      <c r="D266" s="240"/>
      <c r="E266" s="241"/>
      <c r="F266" s="70"/>
      <c r="G266" s="71"/>
      <c r="H266" s="71"/>
      <c r="I266" s="71"/>
      <c r="J266" s="240" t="s">
        <v>159</v>
      </c>
      <c r="K266" s="241"/>
      <c r="L266" s="49">
        <v>3440000</v>
      </c>
      <c r="M266" s="49">
        <v>0</v>
      </c>
      <c r="N266" s="49"/>
      <c r="O266" s="49"/>
      <c r="P266" s="49"/>
      <c r="Q266" s="49">
        <f>SUM(N266:P266)</f>
        <v>0</v>
      </c>
      <c r="R266" s="72"/>
      <c r="S266" s="49">
        <f>M266-Q266</f>
        <v>0</v>
      </c>
      <c r="T266" s="49">
        <v>0</v>
      </c>
      <c r="U266" s="49">
        <f>T266+M266</f>
        <v>0</v>
      </c>
      <c r="V266" s="49">
        <f>T266+S266</f>
        <v>0</v>
      </c>
      <c r="W266" s="49"/>
      <c r="X266" s="49"/>
      <c r="Y266" s="49"/>
      <c r="Z266" s="49"/>
      <c r="AA266" s="49">
        <v>3440000</v>
      </c>
      <c r="AB266" s="49">
        <v>3440000</v>
      </c>
      <c r="AC266" s="49">
        <f t="shared" si="80"/>
        <v>0</v>
      </c>
      <c r="AD266" s="49">
        <f>AA266+T266+M266</f>
        <v>3440000</v>
      </c>
      <c r="AE266" s="49"/>
      <c r="AF266" s="49"/>
      <c r="AG266" s="49"/>
      <c r="AH266" s="49">
        <v>3440000</v>
      </c>
      <c r="AI266" s="49"/>
      <c r="AJ266" s="49"/>
      <c r="AK266" s="49">
        <f>Z266+Y266+X266+W266+N266+AG266+AJ266+AI266+AH266</f>
        <v>3440000</v>
      </c>
      <c r="AL266" s="49">
        <f>AK266/AD266*100</f>
        <v>100</v>
      </c>
      <c r="AM266" s="49"/>
      <c r="AN266" s="49"/>
      <c r="AO266" s="49"/>
      <c r="AP266" s="49"/>
      <c r="AQ266" s="49">
        <f>AK266+AM266+AN266+AO266+AP266</f>
        <v>3440000</v>
      </c>
      <c r="AR266" s="49">
        <f>AQ266/AB266*100</f>
        <v>100</v>
      </c>
      <c r="AS266" s="49">
        <f>AB266-AQ266</f>
        <v>0</v>
      </c>
      <c r="AT266" s="49">
        <v>3091500</v>
      </c>
      <c r="AU266" s="49">
        <f>AT266+U266</f>
        <v>3091500</v>
      </c>
      <c r="AV266" s="49">
        <f>AK266</f>
        <v>3440000</v>
      </c>
      <c r="AW266" s="72">
        <f>AV266/AU266*100</f>
        <v>111.27284489729905</v>
      </c>
      <c r="AX266" s="49">
        <f>AU266-AV266</f>
        <v>-348500</v>
      </c>
      <c r="AY266" s="49">
        <f>AS266/AB266*100</f>
        <v>0</v>
      </c>
      <c r="AZ266" s="73">
        <f t="shared" si="78"/>
        <v>3440000</v>
      </c>
      <c r="BA266" s="73"/>
    </row>
    <row r="267" spans="1:53" ht="20.100000000000001" customHeight="1">
      <c r="A267" s="68"/>
      <c r="B267" s="69"/>
      <c r="C267" s="240" t="s">
        <v>455</v>
      </c>
      <c r="D267" s="240"/>
      <c r="E267" s="241"/>
      <c r="F267" s="70"/>
      <c r="G267" s="71"/>
      <c r="H267" s="71"/>
      <c r="I267" s="71"/>
      <c r="J267" s="240" t="s">
        <v>207</v>
      </c>
      <c r="K267" s="241"/>
      <c r="L267" s="49">
        <v>4065000</v>
      </c>
      <c r="M267" s="49">
        <v>0</v>
      </c>
      <c r="N267" s="49"/>
      <c r="O267" s="49"/>
      <c r="P267" s="49"/>
      <c r="Q267" s="49">
        <f>SUM(N267:P267)</f>
        <v>0</v>
      </c>
      <c r="R267" s="72"/>
      <c r="S267" s="49">
        <f>M267-Q267</f>
        <v>0</v>
      </c>
      <c r="T267" s="49">
        <v>0</v>
      </c>
      <c r="U267" s="49">
        <f>T267+M267</f>
        <v>0</v>
      </c>
      <c r="V267" s="49">
        <f>T267+S267</f>
        <v>0</v>
      </c>
      <c r="W267" s="49"/>
      <c r="X267" s="49"/>
      <c r="Y267" s="49"/>
      <c r="Z267" s="49"/>
      <c r="AA267" s="49">
        <v>4065000</v>
      </c>
      <c r="AB267" s="49">
        <v>4065000</v>
      </c>
      <c r="AC267" s="49">
        <f t="shared" si="80"/>
        <v>0</v>
      </c>
      <c r="AD267" s="49">
        <f>AA267+T267+M267</f>
        <v>4065000</v>
      </c>
      <c r="AE267" s="49"/>
      <c r="AF267" s="49"/>
      <c r="AG267" s="49"/>
      <c r="AH267" s="49">
        <v>3970000</v>
      </c>
      <c r="AI267" s="49"/>
      <c r="AJ267" s="49"/>
      <c r="AK267" s="49">
        <f>Z267+Y267+X267+W267+N267+AG267+AJ267+AI267+AH267</f>
        <v>3970000</v>
      </c>
      <c r="AL267" s="49">
        <f>AK267/AD267*100</f>
        <v>97.662976629766291</v>
      </c>
      <c r="AM267" s="49"/>
      <c r="AN267" s="49"/>
      <c r="AO267" s="49"/>
      <c r="AP267" s="49"/>
      <c r="AQ267" s="49">
        <f>AK267+AM267+AN267+AO267+AP267</f>
        <v>3970000</v>
      </c>
      <c r="AR267" s="49">
        <f>AQ267/AB267*100</f>
        <v>97.662976629766291</v>
      </c>
      <c r="AS267" s="49">
        <f>AB267-AQ267</f>
        <v>95000</v>
      </c>
      <c r="AT267" s="49">
        <v>3091500</v>
      </c>
      <c r="AU267" s="49">
        <f>AT267+U267</f>
        <v>3091500</v>
      </c>
      <c r="AV267" s="49">
        <f>AK267</f>
        <v>3970000</v>
      </c>
      <c r="AW267" s="72">
        <f>AV267/AU267*100</f>
        <v>128.41662623322011</v>
      </c>
      <c r="AX267" s="49">
        <f>AU267-AV267</f>
        <v>-878500</v>
      </c>
      <c r="AY267" s="49">
        <f>AS267/AB267*100</f>
        <v>2.3370233702337022</v>
      </c>
      <c r="AZ267" s="73">
        <f t="shared" si="78"/>
        <v>3970000</v>
      </c>
      <c r="BA267" s="73"/>
    </row>
    <row r="268" spans="1:53" ht="20.100000000000001" customHeight="1">
      <c r="A268" s="68"/>
      <c r="B268" s="69"/>
      <c r="C268" s="240" t="s">
        <v>456</v>
      </c>
      <c r="D268" s="240"/>
      <c r="E268" s="241"/>
      <c r="F268" s="70"/>
      <c r="G268" s="71"/>
      <c r="H268" s="71"/>
      <c r="I268" s="240" t="s">
        <v>402</v>
      </c>
      <c r="J268" s="240"/>
      <c r="K268" s="241"/>
      <c r="L268" s="49"/>
      <c r="M268" s="49"/>
      <c r="N268" s="49"/>
      <c r="O268" s="49"/>
      <c r="P268" s="49"/>
      <c r="Q268" s="49"/>
      <c r="R268" s="72"/>
      <c r="S268" s="49"/>
      <c r="T268" s="49"/>
      <c r="U268" s="49"/>
      <c r="V268" s="49"/>
      <c r="W268" s="49"/>
      <c r="X268" s="49"/>
      <c r="Y268" s="49"/>
      <c r="Z268" s="49"/>
      <c r="AA268" s="49"/>
      <c r="AB268" s="49"/>
      <c r="AC268" s="49">
        <f t="shared" si="80"/>
        <v>0</v>
      </c>
      <c r="AD268" s="49"/>
      <c r="AE268" s="49"/>
      <c r="AF268" s="49"/>
      <c r="AG268" s="49"/>
      <c r="AH268" s="49"/>
      <c r="AI268" s="49"/>
      <c r="AJ268" s="49"/>
      <c r="AK268" s="49"/>
      <c r="AL268" s="49"/>
      <c r="AM268" s="49"/>
      <c r="AN268" s="49"/>
      <c r="AO268" s="49"/>
      <c r="AP268" s="49"/>
      <c r="AQ268" s="49"/>
      <c r="AR268" s="49"/>
      <c r="AS268" s="49"/>
      <c r="AT268" s="49"/>
      <c r="AU268" s="49"/>
      <c r="AV268" s="49"/>
      <c r="AW268" s="49"/>
      <c r="AX268" s="49"/>
      <c r="AY268" s="49"/>
      <c r="AZ268" s="73">
        <f t="shared" si="78"/>
        <v>0</v>
      </c>
      <c r="BA268" s="73"/>
    </row>
    <row r="269" spans="1:53" ht="20.100000000000001" customHeight="1">
      <c r="A269" s="68"/>
      <c r="B269" s="69"/>
      <c r="C269" s="240" t="s">
        <v>457</v>
      </c>
      <c r="D269" s="240"/>
      <c r="E269" s="241"/>
      <c r="F269" s="70"/>
      <c r="G269" s="71"/>
      <c r="H269" s="71"/>
      <c r="I269" s="71"/>
      <c r="J269" s="240" t="s">
        <v>404</v>
      </c>
      <c r="K269" s="241"/>
      <c r="L269" s="49">
        <v>18000000</v>
      </c>
      <c r="M269" s="49">
        <v>0</v>
      </c>
      <c r="N269" s="49"/>
      <c r="O269" s="49"/>
      <c r="P269" s="49"/>
      <c r="Q269" s="49">
        <f>SUM(N269:P269)</f>
        <v>0</v>
      </c>
      <c r="R269" s="72"/>
      <c r="S269" s="49">
        <f>M269-Q269</f>
        <v>0</v>
      </c>
      <c r="T269" s="49">
        <v>0</v>
      </c>
      <c r="U269" s="49">
        <f>T269+M269</f>
        <v>0</v>
      </c>
      <c r="V269" s="49">
        <f>T269+S269</f>
        <v>0</v>
      </c>
      <c r="W269" s="49"/>
      <c r="X269" s="49"/>
      <c r="Y269" s="49"/>
      <c r="Z269" s="49"/>
      <c r="AA269" s="49">
        <v>18000000</v>
      </c>
      <c r="AB269" s="49">
        <v>18000000</v>
      </c>
      <c r="AC269" s="49">
        <f t="shared" si="80"/>
        <v>0</v>
      </c>
      <c r="AD269" s="49">
        <f>AA269+T269+M269</f>
        <v>18000000</v>
      </c>
      <c r="AE269" s="49"/>
      <c r="AF269" s="49"/>
      <c r="AG269" s="49"/>
      <c r="AH269" s="49">
        <v>16200000</v>
      </c>
      <c r="AI269" s="49"/>
      <c r="AJ269" s="49"/>
      <c r="AK269" s="49">
        <f>Z269+Y269+X269+W269+N269+AG269+AJ269+AI269+AH269</f>
        <v>16200000</v>
      </c>
      <c r="AL269" s="49">
        <f>AK269/AD269*100</f>
        <v>90</v>
      </c>
      <c r="AM269" s="49"/>
      <c r="AN269" s="49"/>
      <c r="AO269" s="49"/>
      <c r="AP269" s="49"/>
      <c r="AQ269" s="49">
        <f>AK269+AM269+AN269+AO269+AP269</f>
        <v>16200000</v>
      </c>
      <c r="AR269" s="49">
        <f>AQ269/AB269*100</f>
        <v>90</v>
      </c>
      <c r="AS269" s="49">
        <f>AB269-AQ269</f>
        <v>1800000</v>
      </c>
      <c r="AT269" s="49">
        <v>3091500</v>
      </c>
      <c r="AU269" s="49">
        <f>AT269+U269</f>
        <v>3091500</v>
      </c>
      <c r="AV269" s="49">
        <f>AK269</f>
        <v>16200000</v>
      </c>
      <c r="AW269" s="72">
        <f>AV269/AU269*100</f>
        <v>524.01746724890825</v>
      </c>
      <c r="AX269" s="49">
        <f>AU269-AV269</f>
        <v>-13108500</v>
      </c>
      <c r="AY269" s="49">
        <f>AS269/AB269*100</f>
        <v>10</v>
      </c>
      <c r="AZ269" s="73">
        <f t="shared" si="78"/>
        <v>16200000</v>
      </c>
      <c r="BA269" s="73"/>
    </row>
    <row r="270" spans="1:53" ht="20.100000000000001" customHeight="1">
      <c r="A270" s="60" t="s">
        <v>458</v>
      </c>
      <c r="B270" s="75"/>
      <c r="C270" s="247" t="s">
        <v>459</v>
      </c>
      <c r="D270" s="247"/>
      <c r="E270" s="248"/>
      <c r="F270" s="249" t="s">
        <v>460</v>
      </c>
      <c r="G270" s="250"/>
      <c r="H270" s="250"/>
      <c r="I270" s="250"/>
      <c r="J270" s="250"/>
      <c r="K270" s="251"/>
      <c r="L270" s="48">
        <f>L271</f>
        <v>50000000</v>
      </c>
      <c r="M270" s="48">
        <f>M271</f>
        <v>0</v>
      </c>
      <c r="N270" s="48">
        <f>N271</f>
        <v>0</v>
      </c>
      <c r="O270" s="48">
        <f>O271</f>
        <v>0</v>
      </c>
      <c r="P270" s="48">
        <f>P271</f>
        <v>0</v>
      </c>
      <c r="Q270" s="48">
        <f>SUM(N270:P270)</f>
        <v>0</v>
      </c>
      <c r="R270" s="61"/>
      <c r="S270" s="48">
        <f>M270-Q270</f>
        <v>0</v>
      </c>
      <c r="T270" s="48">
        <f>T271</f>
        <v>0</v>
      </c>
      <c r="U270" s="48">
        <f>T270+M270</f>
        <v>0</v>
      </c>
      <c r="V270" s="48">
        <f>T270+S270</f>
        <v>0</v>
      </c>
      <c r="W270" s="48">
        <f>W271</f>
        <v>0</v>
      </c>
      <c r="X270" s="48">
        <f>X271</f>
        <v>0</v>
      </c>
      <c r="Y270" s="48">
        <f>Y271</f>
        <v>0</v>
      </c>
      <c r="Z270" s="48"/>
      <c r="AA270" s="48">
        <f>AA271</f>
        <v>50000000</v>
      </c>
      <c r="AB270" s="48">
        <f>AB271</f>
        <v>50000000</v>
      </c>
      <c r="AC270" s="48">
        <f t="shared" si="80"/>
        <v>0</v>
      </c>
      <c r="AD270" s="48">
        <f>AA270+T270+M270</f>
        <v>50000000</v>
      </c>
      <c r="AE270" s="48">
        <f t="shared" ref="AE270:AK270" si="82">AE271</f>
        <v>0</v>
      </c>
      <c r="AF270" s="48">
        <f t="shared" si="82"/>
        <v>0</v>
      </c>
      <c r="AG270" s="48">
        <f t="shared" si="82"/>
        <v>0</v>
      </c>
      <c r="AH270" s="48">
        <f t="shared" si="82"/>
        <v>0</v>
      </c>
      <c r="AI270" s="48">
        <f t="shared" si="82"/>
        <v>0</v>
      </c>
      <c r="AJ270" s="48">
        <f t="shared" si="82"/>
        <v>35728000</v>
      </c>
      <c r="AK270" s="48">
        <f t="shared" si="82"/>
        <v>35728000</v>
      </c>
      <c r="AL270" s="48">
        <f>AK270/AB270*100</f>
        <v>71.456000000000003</v>
      </c>
      <c r="AM270" s="48">
        <f>AM271</f>
        <v>0</v>
      </c>
      <c r="AN270" s="48">
        <f>AN271</f>
        <v>11334900</v>
      </c>
      <c r="AO270" s="48">
        <f>AO271</f>
        <v>0</v>
      </c>
      <c r="AP270" s="48">
        <f>AP271</f>
        <v>0</v>
      </c>
      <c r="AQ270" s="48">
        <f>AK270+AM270+AN270+AO270+AP270</f>
        <v>47062900</v>
      </c>
      <c r="AR270" s="48">
        <f>AQ270/AB270*100</f>
        <v>94.125799999999998</v>
      </c>
      <c r="AS270" s="48">
        <f>AB270-AQ270</f>
        <v>2937100</v>
      </c>
      <c r="AT270" s="48">
        <v>120767500</v>
      </c>
      <c r="AU270" s="48">
        <f>AT270+U270</f>
        <v>120767500</v>
      </c>
      <c r="AV270" s="48">
        <f>AK270</f>
        <v>35728000</v>
      </c>
      <c r="AW270" s="61">
        <f>AV270/AU270*100</f>
        <v>29.584118243732792</v>
      </c>
      <c r="AX270" s="48">
        <f>AU270-AV270</f>
        <v>85039500</v>
      </c>
      <c r="AY270" s="48">
        <f>AS270/AB270*100</f>
        <v>5.8742000000000001</v>
      </c>
      <c r="AZ270" s="73">
        <f t="shared" si="78"/>
        <v>47062900</v>
      </c>
    </row>
    <row r="271" spans="1:53" ht="20.100000000000001" customHeight="1">
      <c r="A271" s="62">
        <v>20</v>
      </c>
      <c r="B271" s="63"/>
      <c r="C271" s="242" t="s">
        <v>461</v>
      </c>
      <c r="D271" s="242"/>
      <c r="E271" s="243"/>
      <c r="F271" s="64"/>
      <c r="G271" s="244" t="s">
        <v>462</v>
      </c>
      <c r="H271" s="244"/>
      <c r="I271" s="244"/>
      <c r="J271" s="244"/>
      <c r="K271" s="245"/>
      <c r="L271" s="65">
        <f>SUM(L274:L289)</f>
        <v>50000000</v>
      </c>
      <c r="M271" s="65">
        <f>SUM(M274:M289)</f>
        <v>0</v>
      </c>
      <c r="N271" s="65">
        <f>SUM(N274:N289)</f>
        <v>0</v>
      </c>
      <c r="O271" s="65">
        <f>SUM(O274:O289)</f>
        <v>0</v>
      </c>
      <c r="P271" s="65">
        <f>SUM(P274:P289)</f>
        <v>0</v>
      </c>
      <c r="Q271" s="65">
        <f>SUM(N271:P271)</f>
        <v>0</v>
      </c>
      <c r="R271" s="66"/>
      <c r="S271" s="65">
        <f>M271-Q271</f>
        <v>0</v>
      </c>
      <c r="T271" s="65">
        <f>SUM(T274:T289)</f>
        <v>0</v>
      </c>
      <c r="U271" s="65">
        <f>T271+M271</f>
        <v>0</v>
      </c>
      <c r="V271" s="65">
        <f>T271+S271</f>
        <v>0</v>
      </c>
      <c r="W271" s="65">
        <f>SUM(W274:W289)</f>
        <v>0</v>
      </c>
      <c r="X271" s="65">
        <f>SUM(X274:X289)</f>
        <v>0</v>
      </c>
      <c r="Y271" s="65">
        <f>SUM(Y274:Y289)</f>
        <v>0</v>
      </c>
      <c r="Z271" s="65"/>
      <c r="AA271" s="65">
        <f>SUM(AA274:AA289)</f>
        <v>50000000</v>
      </c>
      <c r="AB271" s="65">
        <f>SUM(AB274:AB289)</f>
        <v>50000000</v>
      </c>
      <c r="AC271" s="65">
        <f t="shared" si="80"/>
        <v>0</v>
      </c>
      <c r="AD271" s="65">
        <f>AA271+T271+M271</f>
        <v>50000000</v>
      </c>
      <c r="AE271" s="65">
        <f t="shared" ref="AE271:AK271" si="83">SUM(AE274:AE289)</f>
        <v>0</v>
      </c>
      <c r="AF271" s="65">
        <f t="shared" si="83"/>
        <v>0</v>
      </c>
      <c r="AG271" s="65">
        <f t="shared" si="83"/>
        <v>0</v>
      </c>
      <c r="AH271" s="65">
        <f t="shared" si="83"/>
        <v>0</v>
      </c>
      <c r="AI271" s="65">
        <f t="shared" si="83"/>
        <v>0</v>
      </c>
      <c r="AJ271" s="65">
        <f t="shared" si="83"/>
        <v>35728000</v>
      </c>
      <c r="AK271" s="65">
        <f t="shared" si="83"/>
        <v>35728000</v>
      </c>
      <c r="AL271" s="65">
        <f>AK271/AB271*100</f>
        <v>71.456000000000003</v>
      </c>
      <c r="AM271" s="65">
        <f>SUM(AM274:AM289)</f>
        <v>0</v>
      </c>
      <c r="AN271" s="65">
        <f>SUM(AN274:AN289)</f>
        <v>11334900</v>
      </c>
      <c r="AO271" s="65">
        <f>SUM(AO274:AO289)</f>
        <v>0</v>
      </c>
      <c r="AP271" s="65">
        <f>SUM(AP274:AP289)</f>
        <v>0</v>
      </c>
      <c r="AQ271" s="65">
        <f>AK271+AM271+AN271+AO271+AP271</f>
        <v>47062900</v>
      </c>
      <c r="AR271" s="65">
        <f>AQ271/AB271*100</f>
        <v>94.125799999999998</v>
      </c>
      <c r="AS271" s="65">
        <f>AB271-AQ271</f>
        <v>2937100</v>
      </c>
      <c r="AT271" s="65">
        <f>SUM(AT274:AT280)</f>
        <v>12366000</v>
      </c>
      <c r="AU271" s="65">
        <f>AT271+U271</f>
        <v>12366000</v>
      </c>
      <c r="AV271" s="65">
        <f>AK271</f>
        <v>35728000</v>
      </c>
      <c r="AW271" s="66">
        <f>AV271/AU271*100</f>
        <v>288.92123564612643</v>
      </c>
      <c r="AX271" s="65">
        <f>AU271-AV271</f>
        <v>-23362000</v>
      </c>
      <c r="AY271" s="65">
        <f>AS271/AB271*100</f>
        <v>5.8742000000000001</v>
      </c>
      <c r="AZ271" s="67">
        <f t="shared" si="78"/>
        <v>47062900</v>
      </c>
      <c r="BA271" s="29">
        <f>AS271</f>
        <v>2937100</v>
      </c>
    </row>
    <row r="272" spans="1:53" ht="20.100000000000001" customHeight="1">
      <c r="A272" s="68"/>
      <c r="B272" s="69"/>
      <c r="C272" s="240" t="s">
        <v>463</v>
      </c>
      <c r="D272" s="240"/>
      <c r="E272" s="241"/>
      <c r="F272" s="70"/>
      <c r="G272" s="71"/>
      <c r="H272" s="240" t="s">
        <v>10</v>
      </c>
      <c r="I272" s="240"/>
      <c r="J272" s="240"/>
      <c r="K272" s="241"/>
      <c r="L272" s="49"/>
      <c r="M272" s="49"/>
      <c r="N272" s="49"/>
      <c r="O272" s="49"/>
      <c r="P272" s="49"/>
      <c r="Q272" s="49"/>
      <c r="R272" s="72"/>
      <c r="S272" s="49"/>
      <c r="T272" s="49"/>
      <c r="U272" s="49"/>
      <c r="V272" s="49"/>
      <c r="W272" s="49"/>
      <c r="X272" s="49"/>
      <c r="Y272" s="49"/>
      <c r="Z272" s="49"/>
      <c r="AA272" s="49"/>
      <c r="AB272" s="49"/>
      <c r="AC272" s="49">
        <f t="shared" si="80"/>
        <v>0</v>
      </c>
      <c r="AD272" s="49"/>
      <c r="AE272" s="49"/>
      <c r="AF272" s="49"/>
      <c r="AG272" s="49"/>
      <c r="AH272" s="49"/>
      <c r="AI272" s="49"/>
      <c r="AJ272" s="49"/>
      <c r="AK272" s="49"/>
      <c r="AL272" s="49"/>
      <c r="AM272" s="49"/>
      <c r="AN272" s="49"/>
      <c r="AO272" s="49"/>
      <c r="AP272" s="49"/>
      <c r="AQ272" s="49"/>
      <c r="AR272" s="49"/>
      <c r="AS272" s="49"/>
      <c r="AT272" s="49"/>
      <c r="AU272" s="49"/>
      <c r="AV272" s="49"/>
      <c r="AW272" s="49"/>
      <c r="AX272" s="49"/>
      <c r="AY272" s="49"/>
      <c r="AZ272" s="73">
        <f t="shared" si="78"/>
        <v>0</v>
      </c>
    </row>
    <row r="273" spans="1:52" ht="20.100000000000001" customHeight="1">
      <c r="A273" s="68"/>
      <c r="B273" s="69"/>
      <c r="C273" s="240" t="s">
        <v>464</v>
      </c>
      <c r="D273" s="240"/>
      <c r="E273" s="241"/>
      <c r="F273" s="70"/>
      <c r="G273" s="71"/>
      <c r="H273" s="71"/>
      <c r="I273" s="240" t="s">
        <v>177</v>
      </c>
      <c r="J273" s="240"/>
      <c r="K273" s="241"/>
      <c r="L273" s="49"/>
      <c r="M273" s="49"/>
      <c r="N273" s="49"/>
      <c r="O273" s="49"/>
      <c r="P273" s="49"/>
      <c r="Q273" s="49"/>
      <c r="R273" s="72"/>
      <c r="S273" s="49"/>
      <c r="T273" s="49"/>
      <c r="U273" s="49"/>
      <c r="V273" s="49"/>
      <c r="W273" s="49"/>
      <c r="X273" s="49"/>
      <c r="Y273" s="49"/>
      <c r="Z273" s="49"/>
      <c r="AA273" s="49"/>
      <c r="AB273" s="49"/>
      <c r="AC273" s="49">
        <f t="shared" si="80"/>
        <v>0</v>
      </c>
      <c r="AD273" s="49"/>
      <c r="AE273" s="49"/>
      <c r="AF273" s="49"/>
      <c r="AG273" s="49"/>
      <c r="AH273" s="49"/>
      <c r="AI273" s="49"/>
      <c r="AJ273" s="49"/>
      <c r="AK273" s="49"/>
      <c r="AL273" s="49"/>
      <c r="AM273" s="49"/>
      <c r="AN273" s="49"/>
      <c r="AO273" s="49"/>
      <c r="AP273" s="49"/>
      <c r="AQ273" s="49"/>
      <c r="AR273" s="49"/>
      <c r="AS273" s="49"/>
      <c r="AT273" s="49"/>
      <c r="AU273" s="49"/>
      <c r="AV273" s="49"/>
      <c r="AW273" s="49"/>
      <c r="AX273" s="49"/>
      <c r="AY273" s="49"/>
      <c r="AZ273" s="73">
        <f t="shared" si="78"/>
        <v>0</v>
      </c>
    </row>
    <row r="274" spans="1:52" ht="20.100000000000001" customHeight="1">
      <c r="A274" s="68"/>
      <c r="B274" s="69"/>
      <c r="C274" s="240" t="s">
        <v>465</v>
      </c>
      <c r="D274" s="240"/>
      <c r="E274" s="241"/>
      <c r="F274" s="70"/>
      <c r="G274" s="71"/>
      <c r="H274" s="71"/>
      <c r="I274" s="71"/>
      <c r="J274" s="240" t="s">
        <v>283</v>
      </c>
      <c r="K274" s="241"/>
      <c r="L274" s="49">
        <v>1290000</v>
      </c>
      <c r="M274" s="49">
        <v>0</v>
      </c>
      <c r="N274" s="49"/>
      <c r="O274" s="49"/>
      <c r="P274" s="49"/>
      <c r="Q274" s="49">
        <f>SUM(N274:P274)</f>
        <v>0</v>
      </c>
      <c r="R274" s="72"/>
      <c r="S274" s="49">
        <f>M274-Q274</f>
        <v>0</v>
      </c>
      <c r="T274" s="49">
        <v>0</v>
      </c>
      <c r="U274" s="49">
        <f>T274+M274</f>
        <v>0</v>
      </c>
      <c r="V274" s="49">
        <f>T274+S274</f>
        <v>0</v>
      </c>
      <c r="W274" s="49"/>
      <c r="X274" s="49"/>
      <c r="Y274" s="49"/>
      <c r="Z274" s="49"/>
      <c r="AA274" s="49">
        <v>1290000</v>
      </c>
      <c r="AB274" s="49">
        <v>1290000</v>
      </c>
      <c r="AC274" s="49">
        <f t="shared" si="80"/>
        <v>0</v>
      </c>
      <c r="AD274" s="49">
        <f>AA274+T274+M274</f>
        <v>1290000</v>
      </c>
      <c r="AE274" s="49"/>
      <c r="AF274" s="49"/>
      <c r="AG274" s="49"/>
      <c r="AH274" s="49"/>
      <c r="AI274" s="49"/>
      <c r="AJ274" s="49"/>
      <c r="AK274" s="49">
        <f>Z274+Y274+X274+W274+N274+AG274+AJ274+AI274+AH274</f>
        <v>0</v>
      </c>
      <c r="AL274" s="49">
        <f>AK274/AD274*100</f>
        <v>0</v>
      </c>
      <c r="AM274" s="49"/>
      <c r="AN274" s="42">
        <v>1290000</v>
      </c>
      <c r="AO274" s="49"/>
      <c r="AP274" s="49"/>
      <c r="AQ274" s="49">
        <f>AK274+AM274+AN274+AO274+AP274</f>
        <v>1290000</v>
      </c>
      <c r="AR274" s="49">
        <f>AQ274/AB274*100</f>
        <v>100</v>
      </c>
      <c r="AS274" s="49">
        <f>AB274-AQ274</f>
        <v>0</v>
      </c>
      <c r="AT274" s="49">
        <v>3091500</v>
      </c>
      <c r="AU274" s="49">
        <f>AT274+U274</f>
        <v>3091500</v>
      </c>
      <c r="AV274" s="49">
        <f>AK274</f>
        <v>0</v>
      </c>
      <c r="AW274" s="72">
        <f>AV274/AU274*100</f>
        <v>0</v>
      </c>
      <c r="AX274" s="49">
        <f>AU274-AV274</f>
        <v>3091500</v>
      </c>
      <c r="AY274" s="49">
        <f>AS274/AB274*100</f>
        <v>0</v>
      </c>
      <c r="AZ274" s="73">
        <f t="shared" si="78"/>
        <v>1290000</v>
      </c>
    </row>
    <row r="275" spans="1:52" ht="20.100000000000001" customHeight="1">
      <c r="A275" s="68"/>
      <c r="B275" s="69"/>
      <c r="C275" s="240" t="s">
        <v>466</v>
      </c>
      <c r="D275" s="240"/>
      <c r="E275" s="241"/>
      <c r="F275" s="70"/>
      <c r="G275" s="71"/>
      <c r="H275" s="240" t="s">
        <v>143</v>
      </c>
      <c r="I275" s="240"/>
      <c r="J275" s="240"/>
      <c r="K275" s="241"/>
      <c r="L275" s="49"/>
      <c r="M275" s="49"/>
      <c r="N275" s="49"/>
      <c r="O275" s="49"/>
      <c r="P275" s="49"/>
      <c r="Q275" s="49"/>
      <c r="R275" s="72"/>
      <c r="S275" s="49"/>
      <c r="T275" s="49"/>
      <c r="U275" s="49"/>
      <c r="V275" s="49"/>
      <c r="W275" s="49"/>
      <c r="X275" s="49"/>
      <c r="Y275" s="49"/>
      <c r="Z275" s="49"/>
      <c r="AA275" s="49"/>
      <c r="AB275" s="49"/>
      <c r="AC275" s="49">
        <f t="shared" si="80"/>
        <v>0</v>
      </c>
      <c r="AD275" s="49"/>
      <c r="AE275" s="49"/>
      <c r="AF275" s="49"/>
      <c r="AG275" s="49"/>
      <c r="AH275" s="49"/>
      <c r="AI275" s="49"/>
      <c r="AJ275" s="49"/>
      <c r="AK275" s="49"/>
      <c r="AL275" s="49"/>
      <c r="AM275" s="49"/>
      <c r="AN275" s="49"/>
      <c r="AO275" s="49"/>
      <c r="AP275" s="49"/>
      <c r="AQ275" s="49"/>
      <c r="AR275" s="49"/>
      <c r="AS275" s="49"/>
      <c r="AT275" s="49"/>
      <c r="AU275" s="49"/>
      <c r="AV275" s="49"/>
      <c r="AW275" s="49"/>
      <c r="AX275" s="49"/>
      <c r="AY275" s="49"/>
      <c r="AZ275" s="73">
        <f t="shared" si="78"/>
        <v>0</v>
      </c>
    </row>
    <row r="276" spans="1:52" ht="20.100000000000001" customHeight="1">
      <c r="A276" s="68"/>
      <c r="B276" s="69"/>
      <c r="C276" s="240" t="s">
        <v>467</v>
      </c>
      <c r="D276" s="240"/>
      <c r="E276" s="241"/>
      <c r="F276" s="70"/>
      <c r="G276" s="71"/>
      <c r="H276" s="71"/>
      <c r="I276" s="240" t="s">
        <v>145</v>
      </c>
      <c r="J276" s="240"/>
      <c r="K276" s="241"/>
      <c r="L276" s="49"/>
      <c r="M276" s="49"/>
      <c r="N276" s="49"/>
      <c r="O276" s="49"/>
      <c r="P276" s="49"/>
      <c r="Q276" s="49"/>
      <c r="R276" s="72"/>
      <c r="S276" s="49"/>
      <c r="T276" s="49"/>
      <c r="U276" s="49"/>
      <c r="V276" s="49"/>
      <c r="W276" s="49"/>
      <c r="X276" s="49"/>
      <c r="Y276" s="49"/>
      <c r="Z276" s="49"/>
      <c r="AA276" s="49"/>
      <c r="AB276" s="49"/>
      <c r="AC276" s="49">
        <f t="shared" si="80"/>
        <v>0</v>
      </c>
      <c r="AD276" s="49"/>
      <c r="AE276" s="49"/>
      <c r="AF276" s="49"/>
      <c r="AG276" s="49"/>
      <c r="AH276" s="49"/>
      <c r="AI276" s="49"/>
      <c r="AJ276" s="49"/>
      <c r="AK276" s="49"/>
      <c r="AL276" s="49"/>
      <c r="AM276" s="49"/>
      <c r="AN276" s="49"/>
      <c r="AO276" s="49"/>
      <c r="AP276" s="49"/>
      <c r="AQ276" s="49"/>
      <c r="AR276" s="49"/>
      <c r="AS276" s="49"/>
      <c r="AT276" s="49"/>
      <c r="AU276" s="49"/>
      <c r="AV276" s="49"/>
      <c r="AW276" s="49"/>
      <c r="AX276" s="49"/>
      <c r="AY276" s="49"/>
      <c r="AZ276" s="73">
        <f t="shared" si="78"/>
        <v>0</v>
      </c>
    </row>
    <row r="277" spans="1:52" ht="20.100000000000001" customHeight="1">
      <c r="A277" s="68"/>
      <c r="B277" s="69"/>
      <c r="C277" s="240" t="s">
        <v>468</v>
      </c>
      <c r="D277" s="240"/>
      <c r="E277" s="241"/>
      <c r="F277" s="70"/>
      <c r="G277" s="71"/>
      <c r="H277" s="71"/>
      <c r="I277" s="71"/>
      <c r="J277" s="240" t="s">
        <v>147</v>
      </c>
      <c r="K277" s="241"/>
      <c r="L277" s="49">
        <v>405000</v>
      </c>
      <c r="M277" s="49">
        <v>0</v>
      </c>
      <c r="N277" s="49"/>
      <c r="O277" s="49"/>
      <c r="P277" s="49"/>
      <c r="Q277" s="49">
        <f>SUM(N277:P277)</f>
        <v>0</v>
      </c>
      <c r="R277" s="72"/>
      <c r="S277" s="49">
        <f>M277-Q277</f>
        <v>0</v>
      </c>
      <c r="T277" s="49">
        <v>0</v>
      </c>
      <c r="U277" s="49">
        <f>T277+M277</f>
        <v>0</v>
      </c>
      <c r="V277" s="49">
        <f>T277+S277</f>
        <v>0</v>
      </c>
      <c r="W277" s="49"/>
      <c r="X277" s="49"/>
      <c r="Y277" s="49"/>
      <c r="Z277" s="49"/>
      <c r="AA277" s="49">
        <v>405000</v>
      </c>
      <c r="AB277" s="49">
        <v>405000</v>
      </c>
      <c r="AC277" s="49">
        <f t="shared" si="80"/>
        <v>0</v>
      </c>
      <c r="AD277" s="49">
        <f>AA277+T277+M277</f>
        <v>405000</v>
      </c>
      <c r="AE277" s="49"/>
      <c r="AF277" s="49"/>
      <c r="AG277" s="49"/>
      <c r="AH277" s="49"/>
      <c r="AI277" s="49"/>
      <c r="AJ277" s="49"/>
      <c r="AK277" s="49">
        <f>Z277+Y277+X277+W277+N277+AG277+AJ277+AI277+AH277</f>
        <v>0</v>
      </c>
      <c r="AL277" s="49">
        <f>AK277/AD277*100</f>
        <v>0</v>
      </c>
      <c r="AM277" s="49"/>
      <c r="AN277" s="42">
        <v>404900</v>
      </c>
      <c r="AO277" s="49"/>
      <c r="AP277" s="49"/>
      <c r="AQ277" s="49">
        <f>AK277+AM277+AN277+AO277+AP277</f>
        <v>404900</v>
      </c>
      <c r="AR277" s="49">
        <f>AQ277/AB277*100</f>
        <v>99.975308641975317</v>
      </c>
      <c r="AS277" s="49">
        <f>AB277-AQ277</f>
        <v>100</v>
      </c>
      <c r="AT277" s="49">
        <v>3091500</v>
      </c>
      <c r="AU277" s="49">
        <f>AT277+U277</f>
        <v>3091500</v>
      </c>
      <c r="AV277" s="49">
        <f>AK277</f>
        <v>0</v>
      </c>
      <c r="AW277" s="72">
        <f>AV277/AU277*100</f>
        <v>0</v>
      </c>
      <c r="AX277" s="49">
        <f>AU277-AV277</f>
        <v>3091500</v>
      </c>
      <c r="AY277" s="49">
        <f>AS277/AB277*100</f>
        <v>2.469135802469136E-2</v>
      </c>
      <c r="AZ277" s="73">
        <f t="shared" si="78"/>
        <v>404900</v>
      </c>
    </row>
    <row r="278" spans="1:52" ht="20.100000000000001" customHeight="1">
      <c r="A278" s="68"/>
      <c r="B278" s="69"/>
      <c r="C278" s="240" t="s">
        <v>469</v>
      </c>
      <c r="D278" s="240"/>
      <c r="E278" s="241"/>
      <c r="F278" s="70"/>
      <c r="G278" s="71"/>
      <c r="H278" s="71"/>
      <c r="I278" s="240" t="s">
        <v>163</v>
      </c>
      <c r="J278" s="240"/>
      <c r="K278" s="241"/>
      <c r="L278" s="49"/>
      <c r="M278" s="49"/>
      <c r="N278" s="49"/>
      <c r="O278" s="49"/>
      <c r="P278" s="49"/>
      <c r="Q278" s="49"/>
      <c r="R278" s="72"/>
      <c r="S278" s="49"/>
      <c r="T278" s="49"/>
      <c r="U278" s="49"/>
      <c r="V278" s="49"/>
      <c r="W278" s="49"/>
      <c r="X278" s="49"/>
      <c r="Y278" s="49"/>
      <c r="Z278" s="49"/>
      <c r="AA278" s="49"/>
      <c r="AB278" s="49"/>
      <c r="AC278" s="49">
        <f t="shared" si="80"/>
        <v>0</v>
      </c>
      <c r="AD278" s="49"/>
      <c r="AE278" s="49"/>
      <c r="AF278" s="49"/>
      <c r="AG278" s="49"/>
      <c r="AH278" s="49"/>
      <c r="AI278" s="49"/>
      <c r="AJ278" s="49"/>
      <c r="AK278" s="49"/>
      <c r="AL278" s="49"/>
      <c r="AM278" s="49"/>
      <c r="AN278" s="49"/>
      <c r="AO278" s="49"/>
      <c r="AP278" s="49"/>
      <c r="AQ278" s="49"/>
      <c r="AR278" s="49"/>
      <c r="AS278" s="49"/>
      <c r="AT278" s="49"/>
      <c r="AU278" s="49"/>
      <c r="AV278" s="49"/>
      <c r="AW278" s="49"/>
      <c r="AX278" s="49"/>
      <c r="AY278" s="49"/>
      <c r="AZ278" s="73">
        <f t="shared" si="78"/>
        <v>0</v>
      </c>
    </row>
    <row r="279" spans="1:52" ht="20.100000000000001" customHeight="1">
      <c r="A279" s="68"/>
      <c r="B279" s="69"/>
      <c r="C279" s="240" t="s">
        <v>470</v>
      </c>
      <c r="D279" s="240"/>
      <c r="E279" s="241"/>
      <c r="F279" s="70"/>
      <c r="G279" s="71"/>
      <c r="H279" s="71"/>
      <c r="I279" s="71"/>
      <c r="J279" s="240" t="s">
        <v>447</v>
      </c>
      <c r="K279" s="241"/>
      <c r="L279" s="49">
        <v>41025000</v>
      </c>
      <c r="M279" s="49">
        <v>0</v>
      </c>
      <c r="N279" s="49"/>
      <c r="O279" s="49"/>
      <c r="P279" s="49"/>
      <c r="Q279" s="49">
        <f>SUM(N279:P279)</f>
        <v>0</v>
      </c>
      <c r="R279" s="72"/>
      <c r="S279" s="49">
        <f>M279-Q279</f>
        <v>0</v>
      </c>
      <c r="T279" s="49">
        <v>0</v>
      </c>
      <c r="U279" s="49">
        <f>T279+M279</f>
        <v>0</v>
      </c>
      <c r="V279" s="49">
        <f>T279+S279</f>
        <v>0</v>
      </c>
      <c r="W279" s="49"/>
      <c r="X279" s="49"/>
      <c r="Y279" s="49"/>
      <c r="Z279" s="49"/>
      <c r="AA279" s="49">
        <v>41025000</v>
      </c>
      <c r="AB279" s="49">
        <v>41025000</v>
      </c>
      <c r="AC279" s="49">
        <f t="shared" si="80"/>
        <v>0</v>
      </c>
      <c r="AD279" s="49">
        <f>AA279+T279+M279</f>
        <v>41025000</v>
      </c>
      <c r="AE279" s="49"/>
      <c r="AF279" s="49"/>
      <c r="AG279" s="49"/>
      <c r="AH279" s="49"/>
      <c r="AI279" s="49"/>
      <c r="AJ279" s="49">
        <v>35728000</v>
      </c>
      <c r="AK279" s="49">
        <f>Z279+Y279+X279+W279+N279+AG279+AJ279+AI279+AH279</f>
        <v>35728000</v>
      </c>
      <c r="AL279" s="49">
        <f>AK279/AD279*100</f>
        <v>87.088360755636813</v>
      </c>
      <c r="AM279" s="49"/>
      <c r="AN279" s="42">
        <v>2520000</v>
      </c>
      <c r="AO279" s="49"/>
      <c r="AP279" s="49"/>
      <c r="AQ279" s="49">
        <f>AK279+AM279+AN279+AO279+AP279</f>
        <v>38248000</v>
      </c>
      <c r="AR279" s="49">
        <f>AQ279/AB279*100</f>
        <v>93.23095673369896</v>
      </c>
      <c r="AS279" s="49">
        <f>AB279-AQ279</f>
        <v>2777000</v>
      </c>
      <c r="AT279" s="49">
        <v>3091500</v>
      </c>
      <c r="AU279" s="49">
        <f>AT279+U279</f>
        <v>3091500</v>
      </c>
      <c r="AV279" s="49">
        <f>AK279</f>
        <v>35728000</v>
      </c>
      <c r="AW279" s="72">
        <f>AV279/AU279*100</f>
        <v>1155.6849425845057</v>
      </c>
      <c r="AX279" s="49">
        <f>AU279-AV279</f>
        <v>-32636500</v>
      </c>
      <c r="AY279" s="49">
        <f>AS279/AB279*100</f>
        <v>6.7690432663010363</v>
      </c>
      <c r="AZ279" s="73">
        <f t="shared" si="78"/>
        <v>38248000</v>
      </c>
    </row>
    <row r="280" spans="1:52" ht="20.100000000000001" customHeight="1">
      <c r="A280" s="68"/>
      <c r="B280" s="69"/>
      <c r="C280" s="240" t="s">
        <v>471</v>
      </c>
      <c r="D280" s="240"/>
      <c r="E280" s="241"/>
      <c r="F280" s="70"/>
      <c r="G280" s="71"/>
      <c r="H280" s="71"/>
      <c r="I280" s="71"/>
      <c r="J280" s="240" t="s">
        <v>352</v>
      </c>
      <c r="K280" s="241"/>
      <c r="L280" s="49">
        <v>600000</v>
      </c>
      <c r="M280" s="49">
        <v>0</v>
      </c>
      <c r="N280" s="49"/>
      <c r="O280" s="49"/>
      <c r="P280" s="49"/>
      <c r="Q280" s="49">
        <f>SUM(N280:P280)</f>
        <v>0</v>
      </c>
      <c r="R280" s="72"/>
      <c r="S280" s="49">
        <f>M280-Q280</f>
        <v>0</v>
      </c>
      <c r="T280" s="49">
        <v>0</v>
      </c>
      <c r="U280" s="49">
        <f>T280+M280</f>
        <v>0</v>
      </c>
      <c r="V280" s="49">
        <f>T280+S280</f>
        <v>0</v>
      </c>
      <c r="W280" s="49"/>
      <c r="X280" s="49"/>
      <c r="Y280" s="49"/>
      <c r="Z280" s="49"/>
      <c r="AA280" s="49">
        <v>600000</v>
      </c>
      <c r="AB280" s="49">
        <v>600000</v>
      </c>
      <c r="AC280" s="49">
        <f t="shared" si="80"/>
        <v>0</v>
      </c>
      <c r="AD280" s="49">
        <f>AA280+T280+M280</f>
        <v>600000</v>
      </c>
      <c r="AE280" s="49"/>
      <c r="AF280" s="49"/>
      <c r="AG280" s="49"/>
      <c r="AH280" s="49"/>
      <c r="AI280" s="49"/>
      <c r="AJ280" s="49"/>
      <c r="AK280" s="49">
        <f>Z280+Y280+X280+W280+N280+AG280+AJ280+AI280+AH280</f>
        <v>0</v>
      </c>
      <c r="AL280" s="49">
        <f>AK280/AD280*100</f>
        <v>0</v>
      </c>
      <c r="AM280" s="49"/>
      <c r="AN280" s="42">
        <v>600000</v>
      </c>
      <c r="AO280" s="49"/>
      <c r="AP280" s="49"/>
      <c r="AQ280" s="49">
        <f>AK280+AM280+AN280+AO280+AP280</f>
        <v>600000</v>
      </c>
      <c r="AR280" s="49">
        <f>AQ280/AB280*100</f>
        <v>100</v>
      </c>
      <c r="AS280" s="49">
        <f>AB280-AQ280</f>
        <v>0</v>
      </c>
      <c r="AT280" s="49">
        <v>3091500</v>
      </c>
      <c r="AU280" s="49">
        <f>AT280+U280</f>
        <v>3091500</v>
      </c>
      <c r="AV280" s="49">
        <f>AK280</f>
        <v>0</v>
      </c>
      <c r="AW280" s="72">
        <f>AV280/AU280*100</f>
        <v>0</v>
      </c>
      <c r="AX280" s="49">
        <f>AU280-AV280</f>
        <v>3091500</v>
      </c>
      <c r="AY280" s="49">
        <f>AS280/AB280*100</f>
        <v>0</v>
      </c>
      <c r="AZ280" s="73">
        <f t="shared" si="78"/>
        <v>600000</v>
      </c>
    </row>
    <row r="281" spans="1:52" ht="20.100000000000001" customHeight="1">
      <c r="A281" s="68"/>
      <c r="B281" s="69"/>
      <c r="C281" s="240" t="s">
        <v>472</v>
      </c>
      <c r="D281" s="240"/>
      <c r="E281" s="241"/>
      <c r="F281" s="70"/>
      <c r="G281" s="71"/>
      <c r="H281" s="71"/>
      <c r="I281" s="240" t="s">
        <v>151</v>
      </c>
      <c r="J281" s="240"/>
      <c r="K281" s="241"/>
      <c r="L281" s="49"/>
      <c r="M281" s="49"/>
      <c r="N281" s="49"/>
      <c r="O281" s="49"/>
      <c r="P281" s="49"/>
      <c r="Q281" s="49"/>
      <c r="R281" s="72"/>
      <c r="S281" s="49"/>
      <c r="T281" s="49"/>
      <c r="U281" s="49"/>
      <c r="V281" s="49"/>
      <c r="W281" s="49"/>
      <c r="X281" s="49"/>
      <c r="Y281" s="49"/>
      <c r="Z281" s="49"/>
      <c r="AA281" s="49"/>
      <c r="AB281" s="49"/>
      <c r="AC281" s="49">
        <f t="shared" si="80"/>
        <v>0</v>
      </c>
      <c r="AD281" s="49"/>
      <c r="AE281" s="49"/>
      <c r="AF281" s="49"/>
      <c r="AG281" s="49"/>
      <c r="AH281" s="49"/>
      <c r="AI281" s="49"/>
      <c r="AJ281" s="49"/>
      <c r="AK281" s="49"/>
      <c r="AL281" s="49"/>
      <c r="AM281" s="49"/>
      <c r="AN281" s="49"/>
      <c r="AO281" s="49"/>
      <c r="AP281" s="49"/>
      <c r="AQ281" s="49"/>
      <c r="AR281" s="49"/>
      <c r="AS281" s="49"/>
      <c r="AT281" s="49"/>
      <c r="AU281" s="49"/>
      <c r="AV281" s="49"/>
      <c r="AW281" s="49"/>
      <c r="AX281" s="49"/>
      <c r="AY281" s="49"/>
      <c r="AZ281" s="73">
        <f t="shared" si="78"/>
        <v>0</v>
      </c>
    </row>
    <row r="282" spans="1:52" ht="20.100000000000001" customHeight="1">
      <c r="A282" s="68"/>
      <c r="B282" s="69"/>
      <c r="C282" s="240" t="s">
        <v>473</v>
      </c>
      <c r="D282" s="240"/>
      <c r="E282" s="241"/>
      <c r="F282" s="70"/>
      <c r="G282" s="71"/>
      <c r="H282" s="71"/>
      <c r="I282" s="71"/>
      <c r="J282" s="240" t="s">
        <v>155</v>
      </c>
      <c r="K282" s="241"/>
      <c r="L282" s="49">
        <v>280000</v>
      </c>
      <c r="M282" s="49">
        <v>0</v>
      </c>
      <c r="N282" s="49"/>
      <c r="O282" s="49"/>
      <c r="P282" s="49"/>
      <c r="Q282" s="49">
        <f>SUM(N282:P282)</f>
        <v>0</v>
      </c>
      <c r="R282" s="72"/>
      <c r="S282" s="49">
        <f>M282-Q282</f>
        <v>0</v>
      </c>
      <c r="T282" s="49">
        <v>0</v>
      </c>
      <c r="U282" s="49">
        <f>T282+M282</f>
        <v>0</v>
      </c>
      <c r="V282" s="49">
        <f>T282+S282</f>
        <v>0</v>
      </c>
      <c r="W282" s="49"/>
      <c r="X282" s="49"/>
      <c r="Y282" s="49"/>
      <c r="Z282" s="49"/>
      <c r="AA282" s="49">
        <v>280000</v>
      </c>
      <c r="AB282" s="49">
        <v>280000</v>
      </c>
      <c r="AC282" s="49">
        <f t="shared" si="80"/>
        <v>0</v>
      </c>
      <c r="AD282" s="49">
        <f>AA282+T282+M282</f>
        <v>280000</v>
      </c>
      <c r="AE282" s="49"/>
      <c r="AF282" s="49"/>
      <c r="AG282" s="49"/>
      <c r="AH282" s="49"/>
      <c r="AI282" s="49"/>
      <c r="AJ282" s="49"/>
      <c r="AK282" s="49">
        <f>Z282+Y282+X282+W282+N282+AG282+AJ282+AI282+AH282</f>
        <v>0</v>
      </c>
      <c r="AL282" s="49">
        <f>AK282/AD282*100</f>
        <v>0</v>
      </c>
      <c r="AM282" s="49"/>
      <c r="AN282" s="42">
        <v>280000</v>
      </c>
      <c r="AO282" s="49"/>
      <c r="AP282" s="49"/>
      <c r="AQ282" s="49">
        <f>AK282+AM282+AN282+AO282+AP282</f>
        <v>280000</v>
      </c>
      <c r="AR282" s="49">
        <f>AQ282/AB282*100</f>
        <v>100</v>
      </c>
      <c r="AS282" s="49">
        <f>AB282-AQ282</f>
        <v>0</v>
      </c>
      <c r="AT282" s="49">
        <v>3091500</v>
      </c>
      <c r="AU282" s="49">
        <f>AT282+U282</f>
        <v>3091500</v>
      </c>
      <c r="AV282" s="49">
        <f>AK282</f>
        <v>0</v>
      </c>
      <c r="AW282" s="72">
        <f>AV282/AU282*100</f>
        <v>0</v>
      </c>
      <c r="AX282" s="49">
        <f>AU282-AV282</f>
        <v>3091500</v>
      </c>
      <c r="AY282" s="49">
        <f>AS282/AB282*100</f>
        <v>0</v>
      </c>
      <c r="AZ282" s="73">
        <f t="shared" si="78"/>
        <v>280000</v>
      </c>
    </row>
    <row r="283" spans="1:52" ht="20.100000000000001" customHeight="1">
      <c r="A283" s="68"/>
      <c r="B283" s="69"/>
      <c r="C283" s="240" t="s">
        <v>474</v>
      </c>
      <c r="D283" s="240"/>
      <c r="E283" s="241"/>
      <c r="F283" s="70"/>
      <c r="G283" s="71"/>
      <c r="H283" s="71"/>
      <c r="I283" s="240" t="s">
        <v>193</v>
      </c>
      <c r="J283" s="240"/>
      <c r="K283" s="241"/>
      <c r="L283" s="49"/>
      <c r="M283" s="49"/>
      <c r="N283" s="49"/>
      <c r="O283" s="49"/>
      <c r="P283" s="49"/>
      <c r="Q283" s="49"/>
      <c r="R283" s="72"/>
      <c r="S283" s="49"/>
      <c r="T283" s="49"/>
      <c r="U283" s="49"/>
      <c r="V283" s="49"/>
      <c r="W283" s="49"/>
      <c r="X283" s="49"/>
      <c r="Y283" s="49"/>
      <c r="Z283" s="49"/>
      <c r="AA283" s="49"/>
      <c r="AB283" s="49"/>
      <c r="AC283" s="49">
        <f t="shared" si="80"/>
        <v>0</v>
      </c>
      <c r="AD283" s="49"/>
      <c r="AE283" s="49"/>
      <c r="AF283" s="49"/>
      <c r="AG283" s="49"/>
      <c r="AH283" s="49"/>
      <c r="AI283" s="49"/>
      <c r="AJ283" s="49"/>
      <c r="AK283" s="49"/>
      <c r="AL283" s="49"/>
      <c r="AM283" s="49"/>
      <c r="AN283" s="49"/>
      <c r="AO283" s="49"/>
      <c r="AP283" s="49"/>
      <c r="AQ283" s="49"/>
      <c r="AR283" s="49"/>
      <c r="AS283" s="49"/>
      <c r="AT283" s="49"/>
      <c r="AU283" s="49"/>
      <c r="AV283" s="49"/>
      <c r="AW283" s="49"/>
      <c r="AX283" s="49"/>
      <c r="AY283" s="49"/>
      <c r="AZ283" s="73">
        <f t="shared" si="78"/>
        <v>0</v>
      </c>
    </row>
    <row r="284" spans="1:52" ht="20.100000000000001" customHeight="1">
      <c r="A284" s="68"/>
      <c r="B284" s="69"/>
      <c r="C284" s="240" t="s">
        <v>475</v>
      </c>
      <c r="D284" s="240"/>
      <c r="E284" s="241"/>
      <c r="F284" s="70"/>
      <c r="G284" s="71"/>
      <c r="H284" s="71"/>
      <c r="I284" s="71"/>
      <c r="J284" s="240" t="s">
        <v>195</v>
      </c>
      <c r="K284" s="241"/>
      <c r="L284" s="49">
        <v>700000</v>
      </c>
      <c r="M284" s="49">
        <v>0</v>
      </c>
      <c r="N284" s="49"/>
      <c r="O284" s="49"/>
      <c r="P284" s="49"/>
      <c r="Q284" s="49">
        <f>SUM(N284:P284)</f>
        <v>0</v>
      </c>
      <c r="R284" s="72"/>
      <c r="S284" s="49">
        <f>M284-Q284</f>
        <v>0</v>
      </c>
      <c r="T284" s="49">
        <v>0</v>
      </c>
      <c r="U284" s="49">
        <f>T284+M284</f>
        <v>0</v>
      </c>
      <c r="V284" s="49">
        <f>T284+S284</f>
        <v>0</v>
      </c>
      <c r="W284" s="49"/>
      <c r="X284" s="49"/>
      <c r="Y284" s="49"/>
      <c r="Z284" s="49"/>
      <c r="AA284" s="49">
        <v>700000</v>
      </c>
      <c r="AB284" s="49">
        <v>700000</v>
      </c>
      <c r="AC284" s="49">
        <f t="shared" si="80"/>
        <v>0</v>
      </c>
      <c r="AD284" s="49">
        <f>AA284+T284+M284</f>
        <v>700000</v>
      </c>
      <c r="AE284" s="49"/>
      <c r="AF284" s="49"/>
      <c r="AG284" s="49"/>
      <c r="AH284" s="49"/>
      <c r="AI284" s="49"/>
      <c r="AJ284" s="49"/>
      <c r="AK284" s="49">
        <f>Z284+Y284+X284+W284+N284+AG284+AJ284+AI284+AH284</f>
        <v>0</v>
      </c>
      <c r="AL284" s="49">
        <f>AK284/AD284*100</f>
        <v>0</v>
      </c>
      <c r="AM284" s="49"/>
      <c r="AN284" s="42">
        <v>700000</v>
      </c>
      <c r="AO284" s="49"/>
      <c r="AP284" s="49"/>
      <c r="AQ284" s="49">
        <f>AK284+AM284+AN284+AO284+AP284</f>
        <v>700000</v>
      </c>
      <c r="AR284" s="49">
        <f>AQ284/AB284*100</f>
        <v>100</v>
      </c>
      <c r="AS284" s="49">
        <f>AB284-AQ284</f>
        <v>0</v>
      </c>
      <c r="AT284" s="49">
        <v>3091500</v>
      </c>
      <c r="AU284" s="49">
        <f>AT284+U284</f>
        <v>3091500</v>
      </c>
      <c r="AV284" s="49">
        <f>AK284</f>
        <v>0</v>
      </c>
      <c r="AW284" s="72">
        <f>AV284/AU284*100</f>
        <v>0</v>
      </c>
      <c r="AX284" s="49">
        <f>AU284-AV284</f>
        <v>3091500</v>
      </c>
      <c r="AY284" s="49">
        <f>AS284/AB284*100</f>
        <v>0</v>
      </c>
      <c r="AZ284" s="73">
        <f t="shared" si="78"/>
        <v>700000</v>
      </c>
    </row>
    <row r="285" spans="1:52" ht="20.100000000000001" customHeight="1">
      <c r="A285" s="68"/>
      <c r="B285" s="69"/>
      <c r="C285" s="240" t="s">
        <v>476</v>
      </c>
      <c r="D285" s="240"/>
      <c r="E285" s="241"/>
      <c r="F285" s="70"/>
      <c r="G285" s="71"/>
      <c r="H285" s="71"/>
      <c r="I285" s="240" t="s">
        <v>157</v>
      </c>
      <c r="J285" s="240"/>
      <c r="K285" s="241"/>
      <c r="L285" s="49"/>
      <c r="M285" s="49"/>
      <c r="N285" s="49"/>
      <c r="O285" s="49"/>
      <c r="P285" s="49"/>
      <c r="Q285" s="49"/>
      <c r="R285" s="72"/>
      <c r="S285" s="49"/>
      <c r="T285" s="49"/>
      <c r="U285" s="49"/>
      <c r="V285" s="49"/>
      <c r="W285" s="49"/>
      <c r="X285" s="49"/>
      <c r="Y285" s="49"/>
      <c r="Z285" s="49"/>
      <c r="AA285" s="49"/>
      <c r="AB285" s="49"/>
      <c r="AC285" s="49">
        <f t="shared" si="80"/>
        <v>0</v>
      </c>
      <c r="AD285" s="49"/>
      <c r="AE285" s="49"/>
      <c r="AF285" s="49"/>
      <c r="AG285" s="49"/>
      <c r="AH285" s="49"/>
      <c r="AI285" s="49"/>
      <c r="AJ285" s="49"/>
      <c r="AK285" s="49"/>
      <c r="AL285" s="49"/>
      <c r="AM285" s="49"/>
      <c r="AN285" s="49"/>
      <c r="AO285" s="49"/>
      <c r="AP285" s="49"/>
      <c r="AQ285" s="49"/>
      <c r="AR285" s="49"/>
      <c r="AS285" s="49"/>
      <c r="AT285" s="49"/>
      <c r="AU285" s="49"/>
      <c r="AV285" s="49"/>
      <c r="AW285" s="49"/>
      <c r="AX285" s="49"/>
      <c r="AY285" s="49"/>
      <c r="AZ285" s="73">
        <f t="shared" si="78"/>
        <v>0</v>
      </c>
    </row>
    <row r="286" spans="1:52" ht="20.100000000000001" customHeight="1">
      <c r="A286" s="68"/>
      <c r="B286" s="69"/>
      <c r="C286" s="240" t="s">
        <v>477</v>
      </c>
      <c r="D286" s="240"/>
      <c r="E286" s="241"/>
      <c r="F286" s="70"/>
      <c r="G286" s="71"/>
      <c r="H286" s="71"/>
      <c r="I286" s="71"/>
      <c r="J286" s="240" t="s">
        <v>159</v>
      </c>
      <c r="K286" s="241"/>
      <c r="L286" s="49">
        <v>2400000</v>
      </c>
      <c r="M286" s="49">
        <v>0</v>
      </c>
      <c r="N286" s="49"/>
      <c r="O286" s="49"/>
      <c r="P286" s="49"/>
      <c r="Q286" s="49">
        <f>SUM(N286:P286)</f>
        <v>0</v>
      </c>
      <c r="R286" s="72"/>
      <c r="S286" s="49">
        <f>M286-Q286</f>
        <v>0</v>
      </c>
      <c r="T286" s="49">
        <v>0</v>
      </c>
      <c r="U286" s="49">
        <f>T286+M286</f>
        <v>0</v>
      </c>
      <c r="V286" s="49">
        <f>T286+S286</f>
        <v>0</v>
      </c>
      <c r="W286" s="49"/>
      <c r="X286" s="49"/>
      <c r="Y286" s="49"/>
      <c r="Z286" s="49"/>
      <c r="AA286" s="49">
        <v>2400000</v>
      </c>
      <c r="AB286" s="49">
        <v>2400000</v>
      </c>
      <c r="AC286" s="49">
        <f t="shared" si="80"/>
        <v>0</v>
      </c>
      <c r="AD286" s="49">
        <f>AA286+T286+M286</f>
        <v>2400000</v>
      </c>
      <c r="AE286" s="49"/>
      <c r="AF286" s="49"/>
      <c r="AG286" s="49"/>
      <c r="AH286" s="49"/>
      <c r="AI286" s="49"/>
      <c r="AJ286" s="49"/>
      <c r="AK286" s="49">
        <f>Z286+Y286+X286+W286+N286+AG286+AJ286+AI286+AH286</f>
        <v>0</v>
      </c>
      <c r="AL286" s="49">
        <f>AK286/AD286*100</f>
        <v>0</v>
      </c>
      <c r="AM286" s="49"/>
      <c r="AN286" s="42">
        <v>2240000</v>
      </c>
      <c r="AO286" s="49"/>
      <c r="AP286" s="49"/>
      <c r="AQ286" s="49">
        <f>AK286+AM286+AN286+AO286+AP286</f>
        <v>2240000</v>
      </c>
      <c r="AR286" s="49">
        <f>AQ286/AB286*100</f>
        <v>93.333333333333329</v>
      </c>
      <c r="AS286" s="49">
        <f>AB286-AQ286</f>
        <v>160000</v>
      </c>
      <c r="AT286" s="49">
        <v>3091500</v>
      </c>
      <c r="AU286" s="49">
        <f>AT286+U286</f>
        <v>3091500</v>
      </c>
      <c r="AV286" s="49">
        <f>AK286</f>
        <v>0</v>
      </c>
      <c r="AW286" s="72">
        <f>AV286/AU286*100</f>
        <v>0</v>
      </c>
      <c r="AX286" s="49">
        <f>AU286-AV286</f>
        <v>3091500</v>
      </c>
      <c r="AY286" s="49">
        <f>AS286/AB286*100</f>
        <v>6.666666666666667</v>
      </c>
      <c r="AZ286" s="73">
        <f t="shared" si="78"/>
        <v>2240000</v>
      </c>
    </row>
    <row r="287" spans="1:52" ht="20.100000000000001" customHeight="1">
      <c r="A287" s="68"/>
      <c r="B287" s="69"/>
      <c r="C287" s="240" t="s">
        <v>478</v>
      </c>
      <c r="D287" s="240"/>
      <c r="E287" s="241"/>
      <c r="F287" s="70"/>
      <c r="G287" s="71"/>
      <c r="H287" s="71"/>
      <c r="I287" s="71"/>
      <c r="J287" s="240" t="s">
        <v>207</v>
      </c>
      <c r="K287" s="241"/>
      <c r="L287" s="49">
        <v>1000000</v>
      </c>
      <c r="M287" s="49">
        <v>0</v>
      </c>
      <c r="N287" s="49"/>
      <c r="O287" s="49"/>
      <c r="P287" s="49"/>
      <c r="Q287" s="49">
        <f>SUM(N287:P287)</f>
        <v>0</v>
      </c>
      <c r="R287" s="72"/>
      <c r="S287" s="49">
        <f>M287-Q287</f>
        <v>0</v>
      </c>
      <c r="T287" s="49">
        <v>0</v>
      </c>
      <c r="U287" s="49">
        <f>T287+M287</f>
        <v>0</v>
      </c>
      <c r="V287" s="49">
        <f>T287+S287</f>
        <v>0</v>
      </c>
      <c r="W287" s="49"/>
      <c r="X287" s="49"/>
      <c r="Y287" s="49"/>
      <c r="Z287" s="49"/>
      <c r="AA287" s="49">
        <v>1000000</v>
      </c>
      <c r="AB287" s="49">
        <v>1000000</v>
      </c>
      <c r="AC287" s="49">
        <f t="shared" si="80"/>
        <v>0</v>
      </c>
      <c r="AD287" s="49">
        <f>AA287+T287+M287</f>
        <v>1000000</v>
      </c>
      <c r="AE287" s="49"/>
      <c r="AF287" s="49"/>
      <c r="AG287" s="49"/>
      <c r="AH287" s="49"/>
      <c r="AI287" s="49"/>
      <c r="AJ287" s="49"/>
      <c r="AK287" s="49">
        <f>Z287+Y287+X287+W287+N287+AG287+AJ287+AI287+AH287</f>
        <v>0</v>
      </c>
      <c r="AL287" s="49">
        <f>AK287/AD287*100</f>
        <v>0</v>
      </c>
      <c r="AM287" s="49"/>
      <c r="AN287" s="42">
        <v>1000000</v>
      </c>
      <c r="AO287" s="49"/>
      <c r="AP287" s="49"/>
      <c r="AQ287" s="49">
        <f>AK287+AM287+AN287+AO287+AP287</f>
        <v>1000000</v>
      </c>
      <c r="AR287" s="49">
        <f>AQ287/AB287*100</f>
        <v>100</v>
      </c>
      <c r="AS287" s="49">
        <f>AB287-AQ287</f>
        <v>0</v>
      </c>
      <c r="AT287" s="49">
        <v>3091500</v>
      </c>
      <c r="AU287" s="49">
        <f>AT287+U287</f>
        <v>3091500</v>
      </c>
      <c r="AV287" s="49">
        <f>AK287</f>
        <v>0</v>
      </c>
      <c r="AW287" s="72">
        <f>AV287/AU287*100</f>
        <v>0</v>
      </c>
      <c r="AX287" s="49">
        <f>AU287-AV287</f>
        <v>3091500</v>
      </c>
      <c r="AY287" s="49">
        <f>AS287/AB287*100</f>
        <v>0</v>
      </c>
      <c r="AZ287" s="73">
        <f t="shared" si="78"/>
        <v>1000000</v>
      </c>
    </row>
    <row r="288" spans="1:52" ht="20.100000000000001" customHeight="1">
      <c r="A288" s="68"/>
      <c r="B288" s="69"/>
      <c r="C288" s="240" t="s">
        <v>479</v>
      </c>
      <c r="D288" s="240"/>
      <c r="E288" s="241"/>
      <c r="F288" s="70"/>
      <c r="G288" s="71"/>
      <c r="H288" s="71"/>
      <c r="I288" s="240" t="s">
        <v>402</v>
      </c>
      <c r="J288" s="240"/>
      <c r="K288" s="241"/>
      <c r="L288" s="49"/>
      <c r="M288" s="49"/>
      <c r="N288" s="49"/>
      <c r="O288" s="49"/>
      <c r="P288" s="49"/>
      <c r="Q288" s="49"/>
      <c r="R288" s="72"/>
      <c r="S288" s="49"/>
      <c r="T288" s="49"/>
      <c r="U288" s="49"/>
      <c r="V288" s="49"/>
      <c r="W288" s="49"/>
      <c r="X288" s="49"/>
      <c r="Y288" s="49"/>
      <c r="Z288" s="49"/>
      <c r="AA288" s="49"/>
      <c r="AB288" s="49"/>
      <c r="AC288" s="49">
        <f t="shared" si="80"/>
        <v>0</v>
      </c>
      <c r="AD288" s="49"/>
      <c r="AE288" s="49"/>
      <c r="AF288" s="49"/>
      <c r="AG288" s="49"/>
      <c r="AH288" s="49"/>
      <c r="AI288" s="49"/>
      <c r="AJ288" s="49"/>
      <c r="AK288" s="49"/>
      <c r="AL288" s="49"/>
      <c r="AM288" s="49"/>
      <c r="AN288" s="49"/>
      <c r="AO288" s="49"/>
      <c r="AP288" s="49"/>
      <c r="AQ288" s="49"/>
      <c r="AR288" s="49"/>
      <c r="AS288" s="49"/>
      <c r="AT288" s="49"/>
      <c r="AU288" s="49"/>
      <c r="AV288" s="49"/>
      <c r="AW288" s="49"/>
      <c r="AX288" s="49"/>
      <c r="AY288" s="49"/>
      <c r="AZ288" s="73">
        <f t="shared" si="78"/>
        <v>0</v>
      </c>
    </row>
    <row r="289" spans="1:52" ht="20.100000000000001" customHeight="1">
      <c r="A289" s="68"/>
      <c r="B289" s="69"/>
      <c r="C289" s="240" t="s">
        <v>480</v>
      </c>
      <c r="D289" s="240"/>
      <c r="E289" s="241"/>
      <c r="F289" s="70"/>
      <c r="G289" s="71"/>
      <c r="H289" s="71"/>
      <c r="I289" s="71"/>
      <c r="J289" s="240" t="s">
        <v>404</v>
      </c>
      <c r="K289" s="241"/>
      <c r="L289" s="49">
        <v>2300000</v>
      </c>
      <c r="M289" s="49">
        <v>0</v>
      </c>
      <c r="N289" s="49"/>
      <c r="O289" s="49"/>
      <c r="P289" s="49"/>
      <c r="Q289" s="49">
        <f>SUM(N289:P289)</f>
        <v>0</v>
      </c>
      <c r="R289" s="72"/>
      <c r="S289" s="49">
        <f>M289-Q289</f>
        <v>0</v>
      </c>
      <c r="T289" s="49">
        <v>0</v>
      </c>
      <c r="U289" s="49">
        <f>T289+M289</f>
        <v>0</v>
      </c>
      <c r="V289" s="49">
        <f>T289+S289</f>
        <v>0</v>
      </c>
      <c r="W289" s="49"/>
      <c r="X289" s="49"/>
      <c r="Y289" s="49"/>
      <c r="Z289" s="49"/>
      <c r="AA289" s="49">
        <v>2300000</v>
      </c>
      <c r="AB289" s="49">
        <v>2300000</v>
      </c>
      <c r="AC289" s="49">
        <f t="shared" si="80"/>
        <v>0</v>
      </c>
      <c r="AD289" s="49">
        <f>AA289+T289+M289</f>
        <v>2300000</v>
      </c>
      <c r="AE289" s="49"/>
      <c r="AF289" s="49"/>
      <c r="AG289" s="49"/>
      <c r="AH289" s="49"/>
      <c r="AI289" s="49"/>
      <c r="AJ289" s="49"/>
      <c r="AK289" s="49">
        <f>Z289+Y289+X289+W289+N289+AG289+AJ289+AI289+AH289</f>
        <v>0</v>
      </c>
      <c r="AL289" s="49">
        <f>AK289/AD289*100</f>
        <v>0</v>
      </c>
      <c r="AM289" s="49"/>
      <c r="AN289" s="42">
        <v>2300000</v>
      </c>
      <c r="AO289" s="49"/>
      <c r="AP289" s="49"/>
      <c r="AQ289" s="49">
        <f>AK289+AM289+AN289+AO289+AP289</f>
        <v>2300000</v>
      </c>
      <c r="AR289" s="49">
        <f>AQ289/AB289*100</f>
        <v>100</v>
      </c>
      <c r="AS289" s="49">
        <f>AB289-AQ289</f>
        <v>0</v>
      </c>
      <c r="AT289" s="49">
        <v>3091500</v>
      </c>
      <c r="AU289" s="49">
        <f>AT289+U289</f>
        <v>3091500</v>
      </c>
      <c r="AV289" s="49">
        <f>AK289</f>
        <v>0</v>
      </c>
      <c r="AW289" s="72">
        <f>AV289/AU289*100</f>
        <v>0</v>
      </c>
      <c r="AX289" s="49">
        <f>AU289-AV289</f>
        <v>3091500</v>
      </c>
      <c r="AY289" s="49">
        <f>AS289/AB289*100</f>
        <v>0</v>
      </c>
      <c r="AZ289" s="73">
        <f t="shared" si="78"/>
        <v>2300000</v>
      </c>
    </row>
    <row r="290" spans="1:52" ht="20.100000000000001" customHeight="1">
      <c r="A290" s="60" t="s">
        <v>481</v>
      </c>
      <c r="B290" s="75"/>
      <c r="C290" s="247" t="s">
        <v>459</v>
      </c>
      <c r="D290" s="247"/>
      <c r="E290" s="248"/>
      <c r="F290" s="249" t="s">
        <v>6</v>
      </c>
      <c r="G290" s="250"/>
      <c r="H290" s="250"/>
      <c r="I290" s="250"/>
      <c r="J290" s="250"/>
      <c r="K290" s="251"/>
      <c r="L290" s="48">
        <f>L291+L309+L329+L351+L374+L395</f>
        <v>1059675000</v>
      </c>
      <c r="M290" s="48">
        <f>M291+M309+M329+M351+M374+M395</f>
        <v>376965000</v>
      </c>
      <c r="N290" s="48">
        <f>N291+N309+N329+N351+N374+N395</f>
        <v>0</v>
      </c>
      <c r="O290" s="48">
        <f>O291+O309+O329+O351+O374+O395</f>
        <v>0</v>
      </c>
      <c r="P290" s="48">
        <f>P291+P309+P329+P351+P374+P395</f>
        <v>0</v>
      </c>
      <c r="Q290" s="48">
        <f>SUM(N290:P290)</f>
        <v>0</v>
      </c>
      <c r="R290" s="61"/>
      <c r="S290" s="48">
        <f>M290-Q290</f>
        <v>376965000</v>
      </c>
      <c r="T290" s="48">
        <f>T291+T309+T329+T351+T374+T395</f>
        <v>375841500</v>
      </c>
      <c r="U290" s="48">
        <f>T290+M290</f>
        <v>752806500</v>
      </c>
      <c r="V290" s="48">
        <f>T290+S290</f>
        <v>752806500</v>
      </c>
      <c r="W290" s="48">
        <f t="shared" ref="W290:AB290" si="84">W291+W309+W329+W351+W374+W395</f>
        <v>16771000</v>
      </c>
      <c r="X290" s="48">
        <f t="shared" si="84"/>
        <v>33660000</v>
      </c>
      <c r="Y290" s="48">
        <f t="shared" si="84"/>
        <v>0</v>
      </c>
      <c r="Z290" s="48">
        <f t="shared" si="84"/>
        <v>475953975</v>
      </c>
      <c r="AA290" s="48">
        <f t="shared" si="84"/>
        <v>273034000</v>
      </c>
      <c r="AB290" s="48">
        <f t="shared" si="84"/>
        <v>1059675000</v>
      </c>
      <c r="AC290" s="48">
        <f t="shared" si="80"/>
        <v>0</v>
      </c>
      <c r="AD290" s="48">
        <f>AA290+T290+M290</f>
        <v>1025840500</v>
      </c>
      <c r="AE290" s="48">
        <f t="shared" ref="AE290:AK290" si="85">AE291+AE309+AE329+AE351+AE374+AE395</f>
        <v>115778000</v>
      </c>
      <c r="AF290" s="48">
        <f t="shared" si="85"/>
        <v>47500000</v>
      </c>
      <c r="AG290" s="48">
        <f t="shared" si="85"/>
        <v>24157000</v>
      </c>
      <c r="AH290" s="48">
        <f t="shared" si="85"/>
        <v>0</v>
      </c>
      <c r="AI290" s="48">
        <f t="shared" si="85"/>
        <v>0</v>
      </c>
      <c r="AJ290" s="48">
        <f t="shared" si="85"/>
        <v>5300000</v>
      </c>
      <c r="AK290" s="48">
        <f t="shared" si="85"/>
        <v>719119975</v>
      </c>
      <c r="AL290" s="48">
        <f>AK290/AB290*100</f>
        <v>67.862313917002865</v>
      </c>
      <c r="AM290" s="48">
        <f>AM291+AM309+AM329+AM351+AM374+AM395</f>
        <v>0</v>
      </c>
      <c r="AN290" s="48">
        <f>AN291+AN309+AN329+AN351+AN374+AN395</f>
        <v>109017400</v>
      </c>
      <c r="AO290" s="48">
        <f>AO291+AO309+AO329+AO351+AO374+AO395</f>
        <v>25123850</v>
      </c>
      <c r="AP290" s="48">
        <f>AP291+AP309+AP329+AP351+AP374+AP395</f>
        <v>50232500</v>
      </c>
      <c r="AQ290" s="48">
        <f>AK290+AM290+AN290+AO290+AP290</f>
        <v>903493725</v>
      </c>
      <c r="AR290" s="48">
        <f>AQ290/AB290*100</f>
        <v>85.261398542005807</v>
      </c>
      <c r="AS290" s="48">
        <f>AB290-AQ290</f>
        <v>156181275</v>
      </c>
      <c r="AT290" s="48">
        <v>120767500</v>
      </c>
      <c r="AU290" s="48">
        <f>AT290+U290</f>
        <v>873574000</v>
      </c>
      <c r="AV290" s="48">
        <f>AK290</f>
        <v>719119975</v>
      </c>
      <c r="AW290" s="61">
        <f>AV290/AU290*100</f>
        <v>82.319296934203621</v>
      </c>
      <c r="AX290" s="48">
        <f>AU290-AV290</f>
        <v>154454025</v>
      </c>
      <c r="AY290" s="48">
        <f>AS290/AB290*100</f>
        <v>14.738601457994196</v>
      </c>
      <c r="AZ290" s="73">
        <f t="shared" si="78"/>
        <v>878369875</v>
      </c>
    </row>
    <row r="291" spans="1:52" ht="20.100000000000001" customHeight="1">
      <c r="A291" s="62">
        <v>21</v>
      </c>
      <c r="B291" s="63"/>
      <c r="C291" s="242" t="s">
        <v>482</v>
      </c>
      <c r="D291" s="242"/>
      <c r="E291" s="243"/>
      <c r="F291" s="64"/>
      <c r="G291" s="244" t="s">
        <v>483</v>
      </c>
      <c r="H291" s="244"/>
      <c r="I291" s="244"/>
      <c r="J291" s="244"/>
      <c r="K291" s="245"/>
      <c r="L291" s="65">
        <f>SUM(L294:L308)</f>
        <v>35116000</v>
      </c>
      <c r="M291" s="65">
        <f>SUM(M294:M308)</f>
        <v>10870000</v>
      </c>
      <c r="N291" s="65">
        <f>SUM(N294:N308)</f>
        <v>0</v>
      </c>
      <c r="O291" s="65">
        <f>SUM(O294:O308)</f>
        <v>0</v>
      </c>
      <c r="P291" s="65">
        <f>SUM(P294:P308)</f>
        <v>0</v>
      </c>
      <c r="Q291" s="65">
        <f>SUM(N291:P291)</f>
        <v>0</v>
      </c>
      <c r="R291" s="66"/>
      <c r="S291" s="65">
        <f>M291-Q291</f>
        <v>10870000</v>
      </c>
      <c r="T291" s="65">
        <f>SUM(T294:T308)</f>
        <v>24246000</v>
      </c>
      <c r="U291" s="65">
        <f>T291+M291</f>
        <v>35116000</v>
      </c>
      <c r="V291" s="65">
        <f>T291+S291</f>
        <v>35116000</v>
      </c>
      <c r="W291" s="65">
        <f>SUM(W294:W308)</f>
        <v>16771000</v>
      </c>
      <c r="X291" s="65">
        <f>SUM(X294:X308)</f>
        <v>0</v>
      </c>
      <c r="Y291" s="65">
        <f>SUM(Y294:Y308)</f>
        <v>0</v>
      </c>
      <c r="Z291" s="65"/>
      <c r="AA291" s="65">
        <f>SUM(AA294:AA308)</f>
        <v>0</v>
      </c>
      <c r="AB291" s="65">
        <f>SUM(AB294:AB308)</f>
        <v>35116000</v>
      </c>
      <c r="AC291" s="65">
        <f t="shared" si="80"/>
        <v>0</v>
      </c>
      <c r="AD291" s="65">
        <f>AA291+T291+M291</f>
        <v>35116000</v>
      </c>
      <c r="AE291" s="65">
        <f t="shared" ref="AE291:AK291" si="86">SUM(AE294:AE308)</f>
        <v>0</v>
      </c>
      <c r="AF291" s="65">
        <f t="shared" si="86"/>
        <v>0</v>
      </c>
      <c r="AG291" s="65">
        <f t="shared" si="86"/>
        <v>0</v>
      </c>
      <c r="AH291" s="65">
        <f t="shared" si="86"/>
        <v>0</v>
      </c>
      <c r="AI291" s="65">
        <f t="shared" si="86"/>
        <v>0</v>
      </c>
      <c r="AJ291" s="65">
        <f t="shared" si="86"/>
        <v>0</v>
      </c>
      <c r="AK291" s="65">
        <f t="shared" si="86"/>
        <v>16771000</v>
      </c>
      <c r="AL291" s="65">
        <f>AK291/AB291*100</f>
        <v>47.758856361772409</v>
      </c>
      <c r="AM291" s="65">
        <f>SUM(AM294:AM308)</f>
        <v>0</v>
      </c>
      <c r="AN291" s="65">
        <f>SUM(AN294:AN308)</f>
        <v>0</v>
      </c>
      <c r="AO291" s="65">
        <f>SUM(AO294:AO308)</f>
        <v>0</v>
      </c>
      <c r="AP291" s="65">
        <f>SUM(AP294:AP308)</f>
        <v>0</v>
      </c>
      <c r="AQ291" s="65">
        <f>AK291+AM291+AN291+AO291+AP291</f>
        <v>16771000</v>
      </c>
      <c r="AR291" s="65">
        <f>AQ291/AB291*100</f>
        <v>47.758856361772409</v>
      </c>
      <c r="AS291" s="65">
        <f>AB291-AQ291</f>
        <v>18345000</v>
      </c>
      <c r="AT291" s="65">
        <f>SUM(AT294:AT300)</f>
        <v>9274500</v>
      </c>
      <c r="AU291" s="65">
        <f>AT291+U291</f>
        <v>44390500</v>
      </c>
      <c r="AV291" s="65">
        <f>AK291</f>
        <v>16771000</v>
      </c>
      <c r="AW291" s="66">
        <f>AV291/AU291*100</f>
        <v>37.780606210788342</v>
      </c>
      <c r="AX291" s="65">
        <f>AU291-AV291</f>
        <v>27619500</v>
      </c>
      <c r="AY291" s="65">
        <f>AS291/AB291*100</f>
        <v>52.241143638227591</v>
      </c>
      <c r="AZ291" s="67">
        <f t="shared" si="78"/>
        <v>16771000</v>
      </c>
    </row>
    <row r="292" spans="1:52" ht="20.100000000000001" customHeight="1">
      <c r="A292" s="68"/>
      <c r="B292" s="69"/>
      <c r="C292" s="240" t="s">
        <v>484</v>
      </c>
      <c r="D292" s="240"/>
      <c r="E292" s="241"/>
      <c r="F292" s="70"/>
      <c r="G292" s="71"/>
      <c r="H292" s="240" t="s">
        <v>10</v>
      </c>
      <c r="I292" s="240"/>
      <c r="J292" s="240"/>
      <c r="K292" s="241"/>
      <c r="L292" s="49"/>
      <c r="M292" s="49"/>
      <c r="N292" s="49"/>
      <c r="O292" s="49"/>
      <c r="P292" s="49"/>
      <c r="Q292" s="49"/>
      <c r="R292" s="72"/>
      <c r="S292" s="49"/>
      <c r="T292" s="49"/>
      <c r="U292" s="49"/>
      <c r="V292" s="49"/>
      <c r="W292" s="49"/>
      <c r="X292" s="49"/>
      <c r="Y292" s="49"/>
      <c r="Z292" s="49"/>
      <c r="AA292" s="49"/>
      <c r="AB292" s="49"/>
      <c r="AC292" s="49">
        <f t="shared" si="80"/>
        <v>0</v>
      </c>
      <c r="AD292" s="49"/>
      <c r="AE292" s="49"/>
      <c r="AF292" s="49"/>
      <c r="AG292" s="49"/>
      <c r="AH292" s="49"/>
      <c r="AI292" s="49"/>
      <c r="AJ292" s="49"/>
      <c r="AK292" s="49"/>
      <c r="AL292" s="49"/>
      <c r="AM292" s="49"/>
      <c r="AN292" s="49"/>
      <c r="AO292" s="49"/>
      <c r="AP292" s="49"/>
      <c r="AQ292" s="49"/>
      <c r="AR292" s="49"/>
      <c r="AS292" s="49"/>
      <c r="AT292" s="49"/>
      <c r="AU292" s="49"/>
      <c r="AV292" s="49"/>
      <c r="AW292" s="49"/>
      <c r="AX292" s="49"/>
      <c r="AY292" s="49"/>
      <c r="AZ292" s="73">
        <f t="shared" ref="AZ292:AZ355" si="87">AQ292-AO292</f>
        <v>0</v>
      </c>
    </row>
    <row r="293" spans="1:52" ht="20.100000000000001" customHeight="1">
      <c r="A293" s="68"/>
      <c r="B293" s="69"/>
      <c r="C293" s="240" t="s">
        <v>485</v>
      </c>
      <c r="D293" s="240"/>
      <c r="E293" s="241"/>
      <c r="F293" s="70"/>
      <c r="G293" s="71"/>
      <c r="H293" s="71"/>
      <c r="I293" s="240" t="s">
        <v>177</v>
      </c>
      <c r="J293" s="240"/>
      <c r="K293" s="241"/>
      <c r="L293" s="49"/>
      <c r="M293" s="49"/>
      <c r="N293" s="49"/>
      <c r="O293" s="49"/>
      <c r="P293" s="49"/>
      <c r="Q293" s="49"/>
      <c r="R293" s="72"/>
      <c r="S293" s="49"/>
      <c r="T293" s="49"/>
      <c r="U293" s="49"/>
      <c r="V293" s="49"/>
      <c r="W293" s="49"/>
      <c r="X293" s="49"/>
      <c r="Y293" s="49"/>
      <c r="Z293" s="49"/>
      <c r="AA293" s="49"/>
      <c r="AB293" s="49"/>
      <c r="AC293" s="49">
        <f t="shared" si="80"/>
        <v>0</v>
      </c>
      <c r="AD293" s="49"/>
      <c r="AE293" s="49"/>
      <c r="AF293" s="49"/>
      <c r="AG293" s="49"/>
      <c r="AH293" s="49"/>
      <c r="AI293" s="49"/>
      <c r="AJ293" s="49"/>
      <c r="AK293" s="49"/>
      <c r="AL293" s="49"/>
      <c r="AM293" s="49"/>
      <c r="AN293" s="49"/>
      <c r="AO293" s="49"/>
      <c r="AP293" s="49"/>
      <c r="AQ293" s="49"/>
      <c r="AR293" s="49"/>
      <c r="AS293" s="49"/>
      <c r="AT293" s="49"/>
      <c r="AU293" s="49"/>
      <c r="AV293" s="49"/>
      <c r="AW293" s="49"/>
      <c r="AX293" s="49"/>
      <c r="AY293" s="49"/>
      <c r="AZ293" s="73">
        <f t="shared" si="87"/>
        <v>0</v>
      </c>
    </row>
    <row r="294" spans="1:52" ht="20.100000000000001" customHeight="1">
      <c r="A294" s="68"/>
      <c r="B294" s="69"/>
      <c r="C294" s="240" t="s">
        <v>486</v>
      </c>
      <c r="D294" s="240"/>
      <c r="E294" s="241"/>
      <c r="F294" s="70"/>
      <c r="G294" s="71"/>
      <c r="H294" s="71"/>
      <c r="I294" s="71"/>
      <c r="J294" s="240" t="s">
        <v>283</v>
      </c>
      <c r="K294" s="241"/>
      <c r="L294" s="49">
        <v>970000</v>
      </c>
      <c r="M294" s="49">
        <v>0</v>
      </c>
      <c r="N294" s="49"/>
      <c r="O294" s="49"/>
      <c r="P294" s="49"/>
      <c r="Q294" s="49">
        <f>SUM(N294:P294)</f>
        <v>0</v>
      </c>
      <c r="R294" s="72"/>
      <c r="S294" s="49">
        <f>M294-Q294</f>
        <v>0</v>
      </c>
      <c r="T294" s="49">
        <v>970000</v>
      </c>
      <c r="U294" s="49">
        <f>T294+M294</f>
        <v>970000</v>
      </c>
      <c r="V294" s="49">
        <f>T294+S294</f>
        <v>970000</v>
      </c>
      <c r="W294" s="49">
        <v>970000</v>
      </c>
      <c r="X294" s="49"/>
      <c r="Y294" s="49"/>
      <c r="Z294" s="49"/>
      <c r="AA294" s="49">
        <v>0</v>
      </c>
      <c r="AB294" s="49">
        <v>970000</v>
      </c>
      <c r="AC294" s="49">
        <f t="shared" si="80"/>
        <v>0</v>
      </c>
      <c r="AD294" s="49">
        <f>AA294+T294+M294</f>
        <v>970000</v>
      </c>
      <c r="AE294" s="49"/>
      <c r="AF294" s="49"/>
      <c r="AG294" s="49">
        <v>0</v>
      </c>
      <c r="AH294" s="49"/>
      <c r="AI294" s="49">
        <v>0</v>
      </c>
      <c r="AJ294" s="49">
        <v>0</v>
      </c>
      <c r="AK294" s="49">
        <f>Z294+Y294+X294+W294+N294+AG294+AJ294+AI294+AH294</f>
        <v>970000</v>
      </c>
      <c r="AL294" s="49">
        <f>AK294/AD294*100</f>
        <v>100</v>
      </c>
      <c r="AM294" s="49"/>
      <c r="AN294" s="49"/>
      <c r="AO294" s="49"/>
      <c r="AP294" s="49"/>
      <c r="AQ294" s="49">
        <f>AK294+AM294+AN294+AO294+AP294</f>
        <v>970000</v>
      </c>
      <c r="AR294" s="49">
        <f>AQ294/AB294*100</f>
        <v>100</v>
      </c>
      <c r="AS294" s="49">
        <f>AB294-AQ294</f>
        <v>0</v>
      </c>
      <c r="AT294" s="49">
        <v>3091500</v>
      </c>
      <c r="AU294" s="49">
        <f>AT294+U294</f>
        <v>4061500</v>
      </c>
      <c r="AV294" s="49">
        <f>AK294</f>
        <v>970000</v>
      </c>
      <c r="AW294" s="72">
        <f>AV294/AU294*100</f>
        <v>23.882801920472733</v>
      </c>
      <c r="AX294" s="49">
        <f>AU294-AV294</f>
        <v>3091500</v>
      </c>
      <c r="AY294" s="49">
        <f>AS294/AB294*100</f>
        <v>0</v>
      </c>
      <c r="AZ294" s="73">
        <f t="shared" si="87"/>
        <v>970000</v>
      </c>
    </row>
    <row r="295" spans="1:52" ht="20.100000000000001" customHeight="1">
      <c r="A295" s="68"/>
      <c r="B295" s="69"/>
      <c r="C295" s="240" t="s">
        <v>487</v>
      </c>
      <c r="D295" s="240"/>
      <c r="E295" s="241"/>
      <c r="F295" s="70"/>
      <c r="G295" s="71"/>
      <c r="H295" s="240" t="s">
        <v>143</v>
      </c>
      <c r="I295" s="240"/>
      <c r="J295" s="240"/>
      <c r="K295" s="241"/>
      <c r="L295" s="49"/>
      <c r="M295" s="49"/>
      <c r="N295" s="49"/>
      <c r="O295" s="49"/>
      <c r="P295" s="49"/>
      <c r="Q295" s="49"/>
      <c r="R295" s="72"/>
      <c r="S295" s="49"/>
      <c r="T295" s="49"/>
      <c r="U295" s="49"/>
      <c r="V295" s="49"/>
      <c r="W295" s="49"/>
      <c r="X295" s="49"/>
      <c r="Y295" s="49"/>
      <c r="Z295" s="49"/>
      <c r="AA295" s="49"/>
      <c r="AB295" s="49"/>
      <c r="AC295" s="49">
        <f t="shared" si="80"/>
        <v>0</v>
      </c>
      <c r="AD295" s="49"/>
      <c r="AE295" s="49"/>
      <c r="AF295" s="49"/>
      <c r="AG295" s="49"/>
      <c r="AH295" s="49"/>
      <c r="AI295" s="49"/>
      <c r="AJ295" s="49"/>
      <c r="AK295" s="49"/>
      <c r="AL295" s="49"/>
      <c r="AM295" s="49"/>
      <c r="AN295" s="49"/>
      <c r="AO295" s="49"/>
      <c r="AP295" s="49"/>
      <c r="AQ295" s="49"/>
      <c r="AR295" s="49"/>
      <c r="AS295" s="49"/>
      <c r="AT295" s="49"/>
      <c r="AU295" s="49"/>
      <c r="AV295" s="49"/>
      <c r="AW295" s="49"/>
      <c r="AX295" s="49"/>
      <c r="AY295" s="49"/>
      <c r="AZ295" s="73">
        <f t="shared" si="87"/>
        <v>0</v>
      </c>
    </row>
    <row r="296" spans="1:52" ht="20.100000000000001" customHeight="1">
      <c r="A296" s="68"/>
      <c r="B296" s="69"/>
      <c r="C296" s="240" t="s">
        <v>488</v>
      </c>
      <c r="D296" s="240"/>
      <c r="E296" s="241"/>
      <c r="F296" s="70"/>
      <c r="G296" s="71"/>
      <c r="H296" s="71"/>
      <c r="I296" s="240" t="s">
        <v>145</v>
      </c>
      <c r="J296" s="240"/>
      <c r="K296" s="241"/>
      <c r="L296" s="49"/>
      <c r="M296" s="49"/>
      <c r="N296" s="49"/>
      <c r="O296" s="49"/>
      <c r="P296" s="49"/>
      <c r="Q296" s="49"/>
      <c r="R296" s="72"/>
      <c r="S296" s="49"/>
      <c r="T296" s="49"/>
      <c r="U296" s="49"/>
      <c r="V296" s="49"/>
      <c r="W296" s="49"/>
      <c r="X296" s="49"/>
      <c r="Y296" s="49"/>
      <c r="Z296" s="49"/>
      <c r="AA296" s="49"/>
      <c r="AB296" s="49"/>
      <c r="AC296" s="49">
        <f t="shared" si="80"/>
        <v>0</v>
      </c>
      <c r="AD296" s="49"/>
      <c r="AE296" s="49"/>
      <c r="AF296" s="49"/>
      <c r="AG296" s="49"/>
      <c r="AH296" s="49"/>
      <c r="AI296" s="49"/>
      <c r="AJ296" s="49"/>
      <c r="AK296" s="49"/>
      <c r="AL296" s="49"/>
      <c r="AM296" s="49"/>
      <c r="AN296" s="49"/>
      <c r="AO296" s="49"/>
      <c r="AP296" s="49"/>
      <c r="AQ296" s="49"/>
      <c r="AR296" s="49"/>
      <c r="AS296" s="49"/>
      <c r="AT296" s="49"/>
      <c r="AU296" s="49"/>
      <c r="AV296" s="49"/>
      <c r="AW296" s="49"/>
      <c r="AX296" s="49"/>
      <c r="AY296" s="49"/>
      <c r="AZ296" s="73">
        <f t="shared" si="87"/>
        <v>0</v>
      </c>
    </row>
    <row r="297" spans="1:52" ht="20.100000000000001" customHeight="1">
      <c r="A297" s="68"/>
      <c r="B297" s="69"/>
      <c r="C297" s="240" t="s">
        <v>489</v>
      </c>
      <c r="D297" s="240"/>
      <c r="E297" s="241"/>
      <c r="F297" s="70"/>
      <c r="G297" s="71"/>
      <c r="H297" s="71"/>
      <c r="I297" s="71"/>
      <c r="J297" s="240" t="s">
        <v>147</v>
      </c>
      <c r="K297" s="241"/>
      <c r="L297" s="49">
        <v>1811000</v>
      </c>
      <c r="M297" s="49">
        <v>0</v>
      </c>
      <c r="N297" s="49"/>
      <c r="O297" s="49"/>
      <c r="P297" s="49"/>
      <c r="Q297" s="49">
        <f>SUM(N297:P297)</f>
        <v>0</v>
      </c>
      <c r="R297" s="72"/>
      <c r="S297" s="49">
        <f>M297-Q297</f>
        <v>0</v>
      </c>
      <c r="T297" s="49">
        <v>1811000</v>
      </c>
      <c r="U297" s="49">
        <f>T297+M297</f>
        <v>1811000</v>
      </c>
      <c r="V297" s="49">
        <f>T297+S297</f>
        <v>1811000</v>
      </c>
      <c r="W297" s="49">
        <v>1811000</v>
      </c>
      <c r="X297" s="49"/>
      <c r="Y297" s="49"/>
      <c r="Z297" s="49"/>
      <c r="AA297" s="49">
        <v>0</v>
      </c>
      <c r="AB297" s="49">
        <v>1811000</v>
      </c>
      <c r="AC297" s="49">
        <f t="shared" si="80"/>
        <v>0</v>
      </c>
      <c r="AD297" s="49">
        <f>AA297+T297+M297</f>
        <v>1811000</v>
      </c>
      <c r="AE297" s="49"/>
      <c r="AF297" s="49"/>
      <c r="AG297" s="49">
        <v>0</v>
      </c>
      <c r="AH297" s="49"/>
      <c r="AI297" s="49">
        <v>0</v>
      </c>
      <c r="AJ297" s="49">
        <v>0</v>
      </c>
      <c r="AK297" s="49">
        <f>Z297+Y297+X297+W297+N297+AG297+AJ297+AI297+AH297</f>
        <v>1811000</v>
      </c>
      <c r="AL297" s="49">
        <f>AK297/AD297*100</f>
        <v>100</v>
      </c>
      <c r="AM297" s="49"/>
      <c r="AN297" s="49"/>
      <c r="AO297" s="49"/>
      <c r="AP297" s="49"/>
      <c r="AQ297" s="49">
        <f>AK297+AM297+AN297+AO297+AP297</f>
        <v>1811000</v>
      </c>
      <c r="AR297" s="49">
        <f>AQ297/AB297*100</f>
        <v>100</v>
      </c>
      <c r="AS297" s="49">
        <f>AB297-AQ297</f>
        <v>0</v>
      </c>
      <c r="AT297" s="49">
        <v>3091500</v>
      </c>
      <c r="AU297" s="49">
        <f>AT297+U297</f>
        <v>4902500</v>
      </c>
      <c r="AV297" s="49">
        <f>AK297</f>
        <v>1811000</v>
      </c>
      <c r="AW297" s="72">
        <f>AV297/AU297*100</f>
        <v>36.940336562978068</v>
      </c>
      <c r="AX297" s="49">
        <f>AU297-AV297</f>
        <v>3091500</v>
      </c>
      <c r="AY297" s="49">
        <f>AS297/AB297*100</f>
        <v>0</v>
      </c>
      <c r="AZ297" s="73">
        <f t="shared" si="87"/>
        <v>1811000</v>
      </c>
    </row>
    <row r="298" spans="1:52" ht="20.100000000000001" customHeight="1">
      <c r="A298" s="68"/>
      <c r="B298" s="69"/>
      <c r="C298" s="240" t="s">
        <v>490</v>
      </c>
      <c r="D298" s="240"/>
      <c r="E298" s="241"/>
      <c r="F298" s="70"/>
      <c r="G298" s="71"/>
      <c r="H298" s="71"/>
      <c r="I298" s="240" t="s">
        <v>163</v>
      </c>
      <c r="J298" s="240"/>
      <c r="K298" s="241"/>
      <c r="L298" s="49"/>
      <c r="M298" s="49"/>
      <c r="N298" s="49"/>
      <c r="O298" s="49"/>
      <c r="P298" s="49"/>
      <c r="Q298" s="49"/>
      <c r="R298" s="72"/>
      <c r="S298" s="49"/>
      <c r="T298" s="49"/>
      <c r="U298" s="49"/>
      <c r="V298" s="49"/>
      <c r="W298" s="49"/>
      <c r="X298" s="49"/>
      <c r="Y298" s="49"/>
      <c r="Z298" s="49"/>
      <c r="AA298" s="49"/>
      <c r="AB298" s="49"/>
      <c r="AC298" s="49">
        <f t="shared" si="80"/>
        <v>0</v>
      </c>
      <c r="AD298" s="49"/>
      <c r="AE298" s="49"/>
      <c r="AF298" s="49"/>
      <c r="AG298" s="49"/>
      <c r="AH298" s="49"/>
      <c r="AI298" s="49"/>
      <c r="AJ298" s="49"/>
      <c r="AK298" s="49"/>
      <c r="AL298" s="49"/>
      <c r="AM298" s="49"/>
      <c r="AN298" s="49"/>
      <c r="AO298" s="49"/>
      <c r="AP298" s="49"/>
      <c r="AQ298" s="49"/>
      <c r="AR298" s="49"/>
      <c r="AS298" s="49"/>
      <c r="AT298" s="49"/>
      <c r="AU298" s="49"/>
      <c r="AV298" s="49"/>
      <c r="AW298" s="49"/>
      <c r="AX298" s="49"/>
      <c r="AY298" s="49"/>
      <c r="AZ298" s="73">
        <f t="shared" si="87"/>
        <v>0</v>
      </c>
    </row>
    <row r="299" spans="1:52" ht="20.100000000000001" customHeight="1">
      <c r="A299" s="68"/>
      <c r="B299" s="69"/>
      <c r="C299" s="240" t="s">
        <v>491</v>
      </c>
      <c r="D299" s="240"/>
      <c r="E299" s="241"/>
      <c r="F299" s="70"/>
      <c r="G299" s="71"/>
      <c r="H299" s="71"/>
      <c r="I299" s="71"/>
      <c r="J299" s="240" t="s">
        <v>352</v>
      </c>
      <c r="K299" s="241"/>
      <c r="L299" s="49">
        <v>8400000</v>
      </c>
      <c r="M299" s="49">
        <v>4200000</v>
      </c>
      <c r="N299" s="49"/>
      <c r="O299" s="49"/>
      <c r="P299" s="49"/>
      <c r="Q299" s="49">
        <f>SUM(N299:P299)</f>
        <v>0</v>
      </c>
      <c r="R299" s="72">
        <f>Q299/M299*100</f>
        <v>0</v>
      </c>
      <c r="S299" s="49">
        <f>M299-Q299</f>
        <v>4200000</v>
      </c>
      <c r="T299" s="49">
        <v>4200000</v>
      </c>
      <c r="U299" s="49">
        <f>T299+M299</f>
        <v>8400000</v>
      </c>
      <c r="V299" s="49">
        <f>T299+S299</f>
        <v>8400000</v>
      </c>
      <c r="W299" s="49">
        <f>1100000+1750000</f>
        <v>2850000</v>
      </c>
      <c r="X299" s="49"/>
      <c r="Y299" s="49"/>
      <c r="Z299" s="49"/>
      <c r="AA299" s="49">
        <v>0</v>
      </c>
      <c r="AB299" s="49">
        <v>8400000</v>
      </c>
      <c r="AC299" s="49">
        <f t="shared" si="80"/>
        <v>0</v>
      </c>
      <c r="AD299" s="49">
        <f>AA299+T299+M299</f>
        <v>8400000</v>
      </c>
      <c r="AE299" s="49"/>
      <c r="AF299" s="49"/>
      <c r="AG299" s="49">
        <v>0</v>
      </c>
      <c r="AH299" s="49"/>
      <c r="AI299" s="49">
        <v>0</v>
      </c>
      <c r="AJ299" s="49">
        <v>0</v>
      </c>
      <c r="AK299" s="49">
        <f>Z299+Y299+X299+W299+N299+AG299+AJ299+AI299+AH299</f>
        <v>2850000</v>
      </c>
      <c r="AL299" s="49">
        <f>AK299/AD299*100</f>
        <v>33.928571428571431</v>
      </c>
      <c r="AM299" s="49"/>
      <c r="AN299" s="49"/>
      <c r="AO299" s="49"/>
      <c r="AP299" s="49"/>
      <c r="AQ299" s="49">
        <f>AK299+AM299+AN299+AO299+AP299</f>
        <v>2850000</v>
      </c>
      <c r="AR299" s="49">
        <f>AQ299/AB299*100</f>
        <v>33.928571428571431</v>
      </c>
      <c r="AS299" s="49">
        <f>AB299-AQ299</f>
        <v>5550000</v>
      </c>
      <c r="AT299" s="49">
        <v>3091500</v>
      </c>
      <c r="AU299" s="49">
        <f>AT299+U299</f>
        <v>11491500</v>
      </c>
      <c r="AV299" s="49">
        <f>AK299</f>
        <v>2850000</v>
      </c>
      <c r="AW299" s="72">
        <f>AV299/AU299*100</f>
        <v>24.800939825088108</v>
      </c>
      <c r="AX299" s="49">
        <f>AU299-AV299</f>
        <v>8641500</v>
      </c>
      <c r="AY299" s="49">
        <f>AS299/AB299*100</f>
        <v>66.071428571428569</v>
      </c>
      <c r="AZ299" s="73">
        <f t="shared" si="87"/>
        <v>2850000</v>
      </c>
    </row>
    <row r="300" spans="1:52" ht="20.100000000000001" customHeight="1">
      <c r="A300" s="68"/>
      <c r="B300" s="69"/>
      <c r="C300" s="240" t="s">
        <v>492</v>
      </c>
      <c r="D300" s="240"/>
      <c r="E300" s="241"/>
      <c r="F300" s="70"/>
      <c r="G300" s="71"/>
      <c r="H300" s="71"/>
      <c r="I300" s="240" t="s">
        <v>151</v>
      </c>
      <c r="J300" s="240"/>
      <c r="K300" s="241"/>
      <c r="L300" s="49"/>
      <c r="M300" s="49"/>
      <c r="N300" s="49"/>
      <c r="O300" s="49"/>
      <c r="P300" s="49"/>
      <c r="Q300" s="49"/>
      <c r="R300" s="72"/>
      <c r="S300" s="49"/>
      <c r="T300" s="49">
        <v>0</v>
      </c>
      <c r="U300" s="49">
        <f>T300+M300</f>
        <v>0</v>
      </c>
      <c r="V300" s="49">
        <f>T300+S300</f>
        <v>0</v>
      </c>
      <c r="W300" s="49"/>
      <c r="X300" s="49"/>
      <c r="Y300" s="49"/>
      <c r="Z300" s="49"/>
      <c r="AA300" s="49">
        <v>0</v>
      </c>
      <c r="AB300" s="49"/>
      <c r="AC300" s="49">
        <f t="shared" si="80"/>
        <v>0</v>
      </c>
      <c r="AD300" s="49"/>
      <c r="AE300" s="49"/>
      <c r="AF300" s="49"/>
      <c r="AG300" s="49"/>
      <c r="AH300" s="49"/>
      <c r="AI300" s="49"/>
      <c r="AJ300" s="49"/>
      <c r="AK300" s="49"/>
      <c r="AL300" s="49"/>
      <c r="AM300" s="49"/>
      <c r="AN300" s="49"/>
      <c r="AO300" s="49"/>
      <c r="AP300" s="49"/>
      <c r="AQ300" s="49"/>
      <c r="AR300" s="49"/>
      <c r="AS300" s="49"/>
      <c r="AT300" s="49"/>
      <c r="AU300" s="49"/>
      <c r="AV300" s="49"/>
      <c r="AW300" s="49"/>
      <c r="AX300" s="49"/>
      <c r="AY300" s="49"/>
      <c r="AZ300" s="73">
        <f t="shared" si="87"/>
        <v>0</v>
      </c>
    </row>
    <row r="301" spans="1:52" ht="20.100000000000001" customHeight="1">
      <c r="A301" s="68"/>
      <c r="B301" s="69"/>
      <c r="C301" s="240" t="s">
        <v>493</v>
      </c>
      <c r="D301" s="240"/>
      <c r="E301" s="241"/>
      <c r="F301" s="70"/>
      <c r="G301" s="71"/>
      <c r="H301" s="71"/>
      <c r="I301" s="71"/>
      <c r="J301" s="240" t="s">
        <v>155</v>
      </c>
      <c r="K301" s="241"/>
      <c r="L301" s="49">
        <v>1260000</v>
      </c>
      <c r="M301" s="49">
        <v>1260000</v>
      </c>
      <c r="N301" s="49"/>
      <c r="O301" s="49"/>
      <c r="P301" s="49"/>
      <c r="Q301" s="49">
        <f>SUM(N301:P301)</f>
        <v>0</v>
      </c>
      <c r="R301" s="72">
        <f>Q301/M301*100</f>
        <v>0</v>
      </c>
      <c r="S301" s="49">
        <f>M301-Q301</f>
        <v>1260000</v>
      </c>
      <c r="T301" s="49">
        <v>0</v>
      </c>
      <c r="U301" s="49">
        <f>T301+M301</f>
        <v>1260000</v>
      </c>
      <c r="V301" s="49">
        <f>T301+S301</f>
        <v>1260000</v>
      </c>
      <c r="W301" s="49">
        <v>1260000</v>
      </c>
      <c r="X301" s="49"/>
      <c r="Y301" s="49"/>
      <c r="Z301" s="49"/>
      <c r="AA301" s="49">
        <v>0</v>
      </c>
      <c r="AB301" s="49">
        <v>1260000</v>
      </c>
      <c r="AC301" s="49">
        <f t="shared" si="80"/>
        <v>0</v>
      </c>
      <c r="AD301" s="49">
        <f>AA301+T301+M301</f>
        <v>1260000</v>
      </c>
      <c r="AE301" s="49"/>
      <c r="AF301" s="49"/>
      <c r="AG301" s="49">
        <v>0</v>
      </c>
      <c r="AH301" s="49"/>
      <c r="AI301" s="49">
        <v>0</v>
      </c>
      <c r="AJ301" s="49">
        <v>0</v>
      </c>
      <c r="AK301" s="49">
        <f>Z301+Y301+X301+W301+N301+AG301+AJ301+AI301+AH301</f>
        <v>1260000</v>
      </c>
      <c r="AL301" s="49">
        <f>AK301/AD301*100</f>
        <v>100</v>
      </c>
      <c r="AM301" s="49"/>
      <c r="AN301" s="49"/>
      <c r="AO301" s="49"/>
      <c r="AP301" s="49"/>
      <c r="AQ301" s="49">
        <f>AK301+AM301+AN301+AO301+AP301</f>
        <v>1260000</v>
      </c>
      <c r="AR301" s="49">
        <f>AQ301/AB301*100</f>
        <v>100</v>
      </c>
      <c r="AS301" s="49">
        <f>AB301-AQ301</f>
        <v>0</v>
      </c>
      <c r="AT301" s="49">
        <v>3091500</v>
      </c>
      <c r="AU301" s="49">
        <f>AT301+U301</f>
        <v>4351500</v>
      </c>
      <c r="AV301" s="49">
        <f>AK301</f>
        <v>1260000</v>
      </c>
      <c r="AW301" s="72">
        <f>AV301/AU301*100</f>
        <v>28.955532574974146</v>
      </c>
      <c r="AX301" s="49">
        <f>AU301-AV301</f>
        <v>3091500</v>
      </c>
      <c r="AY301" s="49">
        <f>AS301/AB301*100</f>
        <v>0</v>
      </c>
      <c r="AZ301" s="73">
        <f t="shared" si="87"/>
        <v>1260000</v>
      </c>
    </row>
    <row r="302" spans="1:52" ht="20.100000000000001" customHeight="1">
      <c r="A302" s="68"/>
      <c r="B302" s="69"/>
      <c r="C302" s="240" t="s">
        <v>494</v>
      </c>
      <c r="D302" s="240"/>
      <c r="E302" s="241"/>
      <c r="F302" s="70"/>
      <c r="G302" s="71"/>
      <c r="H302" s="71"/>
      <c r="I302" s="240" t="s">
        <v>193</v>
      </c>
      <c r="J302" s="240"/>
      <c r="K302" s="241"/>
      <c r="L302" s="49"/>
      <c r="M302" s="49"/>
      <c r="N302" s="49"/>
      <c r="O302" s="49"/>
      <c r="P302" s="49"/>
      <c r="Q302" s="49"/>
      <c r="R302" s="72"/>
      <c r="S302" s="49"/>
      <c r="T302" s="49"/>
      <c r="U302" s="49"/>
      <c r="V302" s="49"/>
      <c r="W302" s="49"/>
      <c r="X302" s="49"/>
      <c r="Y302" s="49"/>
      <c r="Z302" s="49"/>
      <c r="AA302" s="49"/>
      <c r="AB302" s="49"/>
      <c r="AC302" s="49">
        <f t="shared" si="80"/>
        <v>0</v>
      </c>
      <c r="AD302" s="49"/>
      <c r="AE302" s="49"/>
      <c r="AF302" s="49"/>
      <c r="AG302" s="49"/>
      <c r="AH302" s="49"/>
      <c r="AI302" s="49"/>
      <c r="AJ302" s="49"/>
      <c r="AK302" s="49"/>
      <c r="AL302" s="49"/>
      <c r="AM302" s="49"/>
      <c r="AN302" s="49"/>
      <c r="AO302" s="49"/>
      <c r="AP302" s="49"/>
      <c r="AQ302" s="49"/>
      <c r="AR302" s="49"/>
      <c r="AS302" s="49"/>
      <c r="AT302" s="49"/>
      <c r="AU302" s="49"/>
      <c r="AV302" s="49"/>
      <c r="AW302" s="49"/>
      <c r="AX302" s="49"/>
      <c r="AY302" s="49"/>
      <c r="AZ302" s="73">
        <f t="shared" si="87"/>
        <v>0</v>
      </c>
    </row>
    <row r="303" spans="1:52" ht="20.100000000000001" customHeight="1">
      <c r="A303" s="68"/>
      <c r="B303" s="69"/>
      <c r="C303" s="240" t="s">
        <v>495</v>
      </c>
      <c r="D303" s="240"/>
      <c r="E303" s="241"/>
      <c r="F303" s="70"/>
      <c r="G303" s="71"/>
      <c r="H303" s="71"/>
      <c r="I303" s="71"/>
      <c r="J303" s="240" t="s">
        <v>195</v>
      </c>
      <c r="K303" s="241"/>
      <c r="L303" s="49">
        <v>4020000</v>
      </c>
      <c r="M303" s="49">
        <v>2010000</v>
      </c>
      <c r="N303" s="49"/>
      <c r="O303" s="49"/>
      <c r="P303" s="49"/>
      <c r="Q303" s="49">
        <f>SUM(N303:P303)</f>
        <v>0</v>
      </c>
      <c r="R303" s="72">
        <f>Q303/M303*100</f>
        <v>0</v>
      </c>
      <c r="S303" s="49">
        <f>M303-Q303</f>
        <v>2010000</v>
      </c>
      <c r="T303" s="49">
        <v>2010000</v>
      </c>
      <c r="U303" s="49">
        <f>T303+M303</f>
        <v>4020000</v>
      </c>
      <c r="V303" s="49">
        <f>T303+S303</f>
        <v>4020000</v>
      </c>
      <c r="W303" s="49">
        <f>2010000+2010000</f>
        <v>4020000</v>
      </c>
      <c r="X303" s="49"/>
      <c r="Y303" s="49"/>
      <c r="Z303" s="49"/>
      <c r="AA303" s="49">
        <v>0</v>
      </c>
      <c r="AB303" s="49">
        <v>4020000</v>
      </c>
      <c r="AC303" s="49">
        <f t="shared" si="80"/>
        <v>0</v>
      </c>
      <c r="AD303" s="49">
        <f>AA303+T303+M303</f>
        <v>4020000</v>
      </c>
      <c r="AE303" s="49"/>
      <c r="AF303" s="49"/>
      <c r="AG303" s="49">
        <v>0</v>
      </c>
      <c r="AH303" s="49"/>
      <c r="AI303" s="49">
        <v>0</v>
      </c>
      <c r="AJ303" s="49">
        <v>0</v>
      </c>
      <c r="AK303" s="49">
        <f>Z303+Y303+X303+W303+N303+AG303+AJ303+AI303+AH303</f>
        <v>4020000</v>
      </c>
      <c r="AL303" s="49">
        <f>AK303/AD303*100</f>
        <v>100</v>
      </c>
      <c r="AM303" s="49"/>
      <c r="AN303" s="49"/>
      <c r="AO303" s="49"/>
      <c r="AP303" s="49"/>
      <c r="AQ303" s="49">
        <f>AK303+AM303+AN303+AO303+AP303</f>
        <v>4020000</v>
      </c>
      <c r="AR303" s="49">
        <f>AQ303/AB303*100</f>
        <v>100</v>
      </c>
      <c r="AS303" s="49">
        <f>AB303-AQ303</f>
        <v>0</v>
      </c>
      <c r="AT303" s="49">
        <v>3091500</v>
      </c>
      <c r="AU303" s="49">
        <f>AT303+U303</f>
        <v>7111500</v>
      </c>
      <c r="AV303" s="49">
        <f>AK303</f>
        <v>4020000</v>
      </c>
      <c r="AW303" s="72">
        <f>AV303/AU303*100</f>
        <v>56.528158616325676</v>
      </c>
      <c r="AX303" s="49">
        <f>AU303-AV303</f>
        <v>3091500</v>
      </c>
      <c r="AY303" s="49">
        <f>AS303/AB303*100</f>
        <v>0</v>
      </c>
      <c r="AZ303" s="73">
        <f t="shared" si="87"/>
        <v>4020000</v>
      </c>
    </row>
    <row r="304" spans="1:52" ht="20.100000000000001" customHeight="1">
      <c r="A304" s="68"/>
      <c r="B304" s="69"/>
      <c r="C304" s="240" t="s">
        <v>496</v>
      </c>
      <c r="D304" s="240"/>
      <c r="E304" s="241"/>
      <c r="F304" s="70"/>
      <c r="G304" s="71"/>
      <c r="H304" s="71"/>
      <c r="I304" s="240" t="s">
        <v>157</v>
      </c>
      <c r="J304" s="240"/>
      <c r="K304" s="241"/>
      <c r="L304" s="49"/>
      <c r="M304" s="49"/>
      <c r="N304" s="49"/>
      <c r="O304" s="49"/>
      <c r="P304" s="49"/>
      <c r="Q304" s="49"/>
      <c r="R304" s="72"/>
      <c r="S304" s="49"/>
      <c r="T304" s="49"/>
      <c r="U304" s="49"/>
      <c r="V304" s="49"/>
      <c r="W304" s="49"/>
      <c r="X304" s="49"/>
      <c r="Y304" s="49"/>
      <c r="Z304" s="49"/>
      <c r="AA304" s="49"/>
      <c r="AB304" s="49"/>
      <c r="AC304" s="49">
        <f t="shared" si="80"/>
        <v>0</v>
      </c>
      <c r="AD304" s="49"/>
      <c r="AE304" s="49"/>
      <c r="AF304" s="49"/>
      <c r="AG304" s="49"/>
      <c r="AH304" s="49"/>
      <c r="AI304" s="49"/>
      <c r="AJ304" s="49"/>
      <c r="AK304" s="49"/>
      <c r="AL304" s="49"/>
      <c r="AM304" s="49"/>
      <c r="AN304" s="49"/>
      <c r="AO304" s="49"/>
      <c r="AP304" s="49"/>
      <c r="AQ304" s="49"/>
      <c r="AR304" s="49"/>
      <c r="AS304" s="49"/>
      <c r="AT304" s="49"/>
      <c r="AU304" s="49"/>
      <c r="AV304" s="49"/>
      <c r="AW304" s="49"/>
      <c r="AX304" s="49"/>
      <c r="AY304" s="49"/>
      <c r="AZ304" s="73">
        <f t="shared" si="87"/>
        <v>0</v>
      </c>
    </row>
    <row r="305" spans="1:54" ht="20.100000000000001" customHeight="1">
      <c r="A305" s="68"/>
      <c r="B305" s="69"/>
      <c r="C305" s="240" t="s">
        <v>497</v>
      </c>
      <c r="D305" s="240"/>
      <c r="E305" s="241"/>
      <c r="F305" s="70"/>
      <c r="G305" s="71"/>
      <c r="H305" s="71"/>
      <c r="I305" s="71"/>
      <c r="J305" s="240" t="s">
        <v>159</v>
      </c>
      <c r="K305" s="241"/>
      <c r="L305" s="49">
        <v>10000000</v>
      </c>
      <c r="M305" s="49">
        <v>2500000</v>
      </c>
      <c r="N305" s="49"/>
      <c r="O305" s="49"/>
      <c r="P305" s="49"/>
      <c r="Q305" s="49">
        <f>SUM(N305:P305)</f>
        <v>0</v>
      </c>
      <c r="R305" s="72">
        <f>Q305/M305*100</f>
        <v>0</v>
      </c>
      <c r="S305" s="49">
        <f>M305-Q305</f>
        <v>2500000</v>
      </c>
      <c r="T305" s="49">
        <v>7500000</v>
      </c>
      <c r="U305" s="49">
        <f>T305+M305</f>
        <v>10000000</v>
      </c>
      <c r="V305" s="49">
        <f>T305+S305</f>
        <v>10000000</v>
      </c>
      <c r="W305" s="49">
        <f>2210000+2450000</f>
        <v>4660000</v>
      </c>
      <c r="X305" s="49"/>
      <c r="Y305" s="49"/>
      <c r="Z305" s="49"/>
      <c r="AA305" s="49">
        <v>0</v>
      </c>
      <c r="AB305" s="49">
        <v>10000000</v>
      </c>
      <c r="AC305" s="49">
        <f t="shared" ref="AC305:AC368" si="88">AB305-L305</f>
        <v>0</v>
      </c>
      <c r="AD305" s="49">
        <f>AA305+T305+M305</f>
        <v>10000000</v>
      </c>
      <c r="AE305" s="49"/>
      <c r="AF305" s="49"/>
      <c r="AG305" s="49">
        <v>0</v>
      </c>
      <c r="AH305" s="49"/>
      <c r="AI305" s="49">
        <v>0</v>
      </c>
      <c r="AJ305" s="49">
        <v>0</v>
      </c>
      <c r="AK305" s="49">
        <f>Z305+Y305+X305+W305+N305+AG305+AJ305+AI305+AH305</f>
        <v>4660000</v>
      </c>
      <c r="AL305" s="49">
        <f>AK305/AD305*100</f>
        <v>46.6</v>
      </c>
      <c r="AM305" s="48"/>
      <c r="AN305" s="49"/>
      <c r="AO305" s="49"/>
      <c r="AP305" s="49"/>
      <c r="AQ305" s="49">
        <f>AK305+AM305+AN305+AO305+AP305</f>
        <v>4660000</v>
      </c>
      <c r="AR305" s="49">
        <f>AQ305/AB305*100</f>
        <v>46.6</v>
      </c>
      <c r="AS305" s="49">
        <f>AB305-AQ305</f>
        <v>5340000</v>
      </c>
      <c r="AT305" s="49">
        <v>3091500</v>
      </c>
      <c r="AU305" s="49">
        <f>AT305+U305</f>
        <v>13091500</v>
      </c>
      <c r="AV305" s="49">
        <f>AK305</f>
        <v>4660000</v>
      </c>
      <c r="AW305" s="72">
        <f>AV305/AU305*100</f>
        <v>35.595615475690337</v>
      </c>
      <c r="AX305" s="49">
        <f>AU305-AV305</f>
        <v>8431500</v>
      </c>
      <c r="AY305" s="49">
        <f>AS305/AB305*100</f>
        <v>53.400000000000006</v>
      </c>
      <c r="AZ305" s="73">
        <f t="shared" si="87"/>
        <v>4660000</v>
      </c>
    </row>
    <row r="306" spans="1:54" ht="20.100000000000001" customHeight="1">
      <c r="A306" s="68"/>
      <c r="B306" s="69"/>
      <c r="C306" s="240" t="s">
        <v>498</v>
      </c>
      <c r="D306" s="240"/>
      <c r="E306" s="241"/>
      <c r="F306" s="70"/>
      <c r="G306" s="71"/>
      <c r="H306" s="71"/>
      <c r="I306" s="71"/>
      <c r="J306" s="240" t="s">
        <v>207</v>
      </c>
      <c r="K306" s="241"/>
      <c r="L306" s="49">
        <v>6855000</v>
      </c>
      <c r="M306" s="49">
        <v>0</v>
      </c>
      <c r="N306" s="49"/>
      <c r="O306" s="49"/>
      <c r="P306" s="49"/>
      <c r="Q306" s="49">
        <f>SUM(N306:P306)</f>
        <v>0</v>
      </c>
      <c r="R306" s="72"/>
      <c r="S306" s="49">
        <f>M306-Q306</f>
        <v>0</v>
      </c>
      <c r="T306" s="49">
        <v>6855000</v>
      </c>
      <c r="U306" s="49">
        <f>T306+M306</f>
        <v>6855000</v>
      </c>
      <c r="V306" s="49">
        <f>T306+S306</f>
        <v>6855000</v>
      </c>
      <c r="W306" s="49"/>
      <c r="X306" s="49"/>
      <c r="Y306" s="49"/>
      <c r="Z306" s="49"/>
      <c r="AA306" s="49">
        <v>0</v>
      </c>
      <c r="AB306" s="49">
        <v>6855000</v>
      </c>
      <c r="AC306" s="49">
        <f t="shared" si="88"/>
        <v>0</v>
      </c>
      <c r="AD306" s="49">
        <f>AA306+T306+M306</f>
        <v>6855000</v>
      </c>
      <c r="AE306" s="49"/>
      <c r="AF306" s="49"/>
      <c r="AG306" s="49"/>
      <c r="AH306" s="49"/>
      <c r="AI306" s="49"/>
      <c r="AJ306" s="49"/>
      <c r="AK306" s="49">
        <f>Z306+Y306+X306+W306+N306+AG306+AJ306+AI306+AH306</f>
        <v>0</v>
      </c>
      <c r="AL306" s="49">
        <f>AK306/AD306*100</f>
        <v>0</v>
      </c>
      <c r="AM306" s="48"/>
      <c r="AN306" s="49"/>
      <c r="AO306" s="49"/>
      <c r="AP306" s="49"/>
      <c r="AQ306" s="49">
        <f>AK306+AM306+AN306+AO306+AP306</f>
        <v>0</v>
      </c>
      <c r="AR306" s="49">
        <f>AQ306/AB306*100</f>
        <v>0</v>
      </c>
      <c r="AS306" s="49">
        <f>AB306-AQ306</f>
        <v>6855000</v>
      </c>
      <c r="AT306" s="49">
        <v>3091500</v>
      </c>
      <c r="AU306" s="49">
        <f>AT306+U306</f>
        <v>9946500</v>
      </c>
      <c r="AV306" s="49">
        <f>AK306</f>
        <v>0</v>
      </c>
      <c r="AW306" s="72">
        <f>AV306/AU306*100</f>
        <v>0</v>
      </c>
      <c r="AX306" s="49">
        <f>AU306-AV306</f>
        <v>9946500</v>
      </c>
      <c r="AY306" s="49">
        <f>AS306/AB306*100</f>
        <v>100</v>
      </c>
      <c r="AZ306" s="73">
        <f t="shared" si="87"/>
        <v>0</v>
      </c>
      <c r="BB306" s="29">
        <f>AS306</f>
        <v>6855000</v>
      </c>
    </row>
    <row r="307" spans="1:54" ht="20.100000000000001" customHeight="1">
      <c r="A307" s="68"/>
      <c r="B307" s="69"/>
      <c r="C307" s="240" t="s">
        <v>499</v>
      </c>
      <c r="D307" s="240"/>
      <c r="E307" s="241"/>
      <c r="F307" s="70"/>
      <c r="G307" s="71"/>
      <c r="H307" s="71"/>
      <c r="I307" s="240" t="s">
        <v>402</v>
      </c>
      <c r="J307" s="240"/>
      <c r="K307" s="241"/>
      <c r="L307" s="49"/>
      <c r="M307" s="49"/>
      <c r="N307" s="49"/>
      <c r="O307" s="49"/>
      <c r="P307" s="49"/>
      <c r="Q307" s="49"/>
      <c r="R307" s="72"/>
      <c r="S307" s="49"/>
      <c r="T307" s="49"/>
      <c r="U307" s="49"/>
      <c r="V307" s="49"/>
      <c r="W307" s="49"/>
      <c r="X307" s="49"/>
      <c r="Y307" s="49"/>
      <c r="Z307" s="49"/>
      <c r="AA307" s="49"/>
      <c r="AB307" s="49"/>
      <c r="AC307" s="49">
        <f t="shared" si="88"/>
        <v>0</v>
      </c>
      <c r="AD307" s="49"/>
      <c r="AE307" s="49"/>
      <c r="AF307" s="49"/>
      <c r="AG307" s="49"/>
      <c r="AH307" s="49"/>
      <c r="AI307" s="49"/>
      <c r="AJ307" s="49"/>
      <c r="AK307" s="49"/>
      <c r="AL307" s="49"/>
      <c r="AM307" s="49"/>
      <c r="AN307" s="49"/>
      <c r="AO307" s="49"/>
      <c r="AP307" s="49"/>
      <c r="AQ307" s="49"/>
      <c r="AR307" s="49"/>
      <c r="AS307" s="49"/>
      <c r="AT307" s="49"/>
      <c r="AU307" s="49"/>
      <c r="AV307" s="49"/>
      <c r="AW307" s="49"/>
      <c r="AX307" s="49"/>
      <c r="AY307" s="49"/>
      <c r="AZ307" s="73">
        <f t="shared" si="87"/>
        <v>0</v>
      </c>
    </row>
    <row r="308" spans="1:54" ht="20.100000000000001" customHeight="1">
      <c r="A308" s="68"/>
      <c r="B308" s="69"/>
      <c r="C308" s="240" t="s">
        <v>500</v>
      </c>
      <c r="D308" s="240"/>
      <c r="E308" s="241"/>
      <c r="F308" s="70"/>
      <c r="G308" s="71"/>
      <c r="H308" s="71"/>
      <c r="I308" s="71"/>
      <c r="J308" s="240" t="s">
        <v>404</v>
      </c>
      <c r="K308" s="241"/>
      <c r="L308" s="49">
        <v>1800000</v>
      </c>
      <c r="M308" s="49">
        <v>900000</v>
      </c>
      <c r="N308" s="49"/>
      <c r="O308" s="49"/>
      <c r="P308" s="49"/>
      <c r="Q308" s="49">
        <f>SUM(N308:P308)</f>
        <v>0</v>
      </c>
      <c r="R308" s="72">
        <f>Q308/M308*100</f>
        <v>0</v>
      </c>
      <c r="S308" s="49">
        <f>M308-Q308</f>
        <v>900000</v>
      </c>
      <c r="T308" s="49">
        <v>900000</v>
      </c>
      <c r="U308" s="49">
        <f>T308+M308</f>
        <v>1800000</v>
      </c>
      <c r="V308" s="49">
        <f>T308+S308</f>
        <v>1800000</v>
      </c>
      <c r="W308" s="49">
        <f>600000+600000</f>
        <v>1200000</v>
      </c>
      <c r="X308" s="49"/>
      <c r="Y308" s="49"/>
      <c r="Z308" s="49"/>
      <c r="AA308" s="49">
        <v>0</v>
      </c>
      <c r="AB308" s="49">
        <v>1800000</v>
      </c>
      <c r="AC308" s="49">
        <f t="shared" si="88"/>
        <v>0</v>
      </c>
      <c r="AD308" s="49">
        <f>AA308+T308+M308</f>
        <v>1800000</v>
      </c>
      <c r="AE308" s="49"/>
      <c r="AF308" s="49"/>
      <c r="AG308" s="49">
        <v>0</v>
      </c>
      <c r="AH308" s="49"/>
      <c r="AI308" s="49">
        <v>0</v>
      </c>
      <c r="AJ308" s="49">
        <v>0</v>
      </c>
      <c r="AK308" s="49">
        <f>Z308+Y308+X308+W308+N308+AG308+AJ308+AI308+AH308</f>
        <v>1200000</v>
      </c>
      <c r="AL308" s="49">
        <f>AK308/AD308*100</f>
        <v>66.666666666666657</v>
      </c>
      <c r="AM308" s="49"/>
      <c r="AN308" s="49"/>
      <c r="AO308" s="49"/>
      <c r="AP308" s="49"/>
      <c r="AQ308" s="49">
        <f>AK308+AM308+AN308+AO308+AP308</f>
        <v>1200000</v>
      </c>
      <c r="AR308" s="49">
        <f>AQ308/AB308*100</f>
        <v>66.666666666666657</v>
      </c>
      <c r="AS308" s="49">
        <f>AB308-AQ308</f>
        <v>600000</v>
      </c>
      <c r="AT308" s="49">
        <v>3091500</v>
      </c>
      <c r="AU308" s="49">
        <f>AT308+U308</f>
        <v>4891500</v>
      </c>
      <c r="AV308" s="49">
        <f>AK308</f>
        <v>1200000</v>
      </c>
      <c r="AW308" s="72">
        <f>AV308/AU308*100</f>
        <v>24.532352039251762</v>
      </c>
      <c r="AX308" s="49">
        <f>AU308-AV308</f>
        <v>3691500</v>
      </c>
      <c r="AY308" s="49">
        <f>AS308/AB308*100</f>
        <v>33.333333333333329</v>
      </c>
      <c r="AZ308" s="73">
        <f t="shared" si="87"/>
        <v>1200000</v>
      </c>
    </row>
    <row r="309" spans="1:54" ht="20.100000000000001" customHeight="1">
      <c r="A309" s="62">
        <v>22</v>
      </c>
      <c r="B309" s="63"/>
      <c r="C309" s="242" t="s">
        <v>461</v>
      </c>
      <c r="D309" s="242"/>
      <c r="E309" s="243"/>
      <c r="F309" s="64"/>
      <c r="G309" s="244" t="s">
        <v>20</v>
      </c>
      <c r="H309" s="244"/>
      <c r="I309" s="244"/>
      <c r="J309" s="244"/>
      <c r="K309" s="245"/>
      <c r="L309" s="65">
        <f>SUM(L312:L328)</f>
        <v>27984000</v>
      </c>
      <c r="M309" s="65">
        <f>SUM(M312:M328)</f>
        <v>0</v>
      </c>
      <c r="N309" s="65">
        <f>SUM(N312:N328)</f>
        <v>0</v>
      </c>
      <c r="O309" s="65">
        <f>SUM(O312:O328)</f>
        <v>0</v>
      </c>
      <c r="P309" s="65">
        <f>SUM(P312:P328)</f>
        <v>0</v>
      </c>
      <c r="Q309" s="65">
        <f>SUM(N309:P309)</f>
        <v>0</v>
      </c>
      <c r="R309" s="66"/>
      <c r="S309" s="65">
        <f>M309-Q309</f>
        <v>0</v>
      </c>
      <c r="T309" s="65">
        <f>SUM(T312:T328)</f>
        <v>0</v>
      </c>
      <c r="U309" s="65">
        <f>T309+M309</f>
        <v>0</v>
      </c>
      <c r="V309" s="65">
        <f>T309+S309</f>
        <v>0</v>
      </c>
      <c r="W309" s="65">
        <f>SUM(W312:W328)</f>
        <v>0</v>
      </c>
      <c r="X309" s="65">
        <f>SUM(X312:X328)</f>
        <v>0</v>
      </c>
      <c r="Y309" s="65">
        <f>SUM(Y312:Y328)</f>
        <v>0</v>
      </c>
      <c r="Z309" s="65"/>
      <c r="AA309" s="65">
        <f>SUM(AA312:AA328)</f>
        <v>27984000</v>
      </c>
      <c r="AB309" s="65">
        <f>SUM(AB312:AB328)</f>
        <v>27984000</v>
      </c>
      <c r="AC309" s="65">
        <f t="shared" si="88"/>
        <v>0</v>
      </c>
      <c r="AD309" s="65">
        <f>AA309+T309+M309</f>
        <v>27984000</v>
      </c>
      <c r="AE309" s="65">
        <f t="shared" ref="AE309:AK309" si="89">SUM(AE312:AE328)</f>
        <v>0</v>
      </c>
      <c r="AF309" s="65">
        <f t="shared" si="89"/>
        <v>0</v>
      </c>
      <c r="AG309" s="65">
        <f t="shared" si="89"/>
        <v>0</v>
      </c>
      <c r="AH309" s="65">
        <f t="shared" si="89"/>
        <v>0</v>
      </c>
      <c r="AI309" s="65">
        <f t="shared" si="89"/>
        <v>0</v>
      </c>
      <c r="AJ309" s="65">
        <f t="shared" si="89"/>
        <v>0</v>
      </c>
      <c r="AK309" s="65">
        <f t="shared" si="89"/>
        <v>0</v>
      </c>
      <c r="AL309" s="65">
        <f>AK309/AB309*100</f>
        <v>0</v>
      </c>
      <c r="AM309" s="65">
        <f>SUM(AM312:AM328)</f>
        <v>0</v>
      </c>
      <c r="AN309" s="65">
        <f>SUM(AN312:AN328)</f>
        <v>0</v>
      </c>
      <c r="AO309" s="42">
        <f>SUM(AO312:AO328)</f>
        <v>25123850</v>
      </c>
      <c r="AP309" s="65">
        <f>SUM(AP312:AP328)</f>
        <v>0</v>
      </c>
      <c r="AQ309" s="65">
        <f>AK309+AM309+AN309+AO309+AP309</f>
        <v>25123850</v>
      </c>
      <c r="AR309" s="65">
        <f>AQ309/AB309*100</f>
        <v>89.779338193253295</v>
      </c>
      <c r="AS309" s="65">
        <f>AB309-AQ309</f>
        <v>2860150</v>
      </c>
      <c r="AT309" s="65">
        <f>SUM(AT312:AT318)</f>
        <v>12366000</v>
      </c>
      <c r="AU309" s="65">
        <f>AT309+U309</f>
        <v>12366000</v>
      </c>
      <c r="AV309" s="65">
        <f>AK309</f>
        <v>0</v>
      </c>
      <c r="AW309" s="66">
        <f>AV309/AU309*100</f>
        <v>0</v>
      </c>
      <c r="AX309" s="65">
        <f>AU309-AV309</f>
        <v>12366000</v>
      </c>
      <c r="AY309" s="65">
        <f>AS309/AB309*100</f>
        <v>10.220661806746714</v>
      </c>
      <c r="AZ309" s="67">
        <f t="shared" si="87"/>
        <v>0</v>
      </c>
    </row>
    <row r="310" spans="1:54" ht="20.100000000000001" customHeight="1">
      <c r="A310" s="68"/>
      <c r="B310" s="69"/>
      <c r="C310" s="240" t="s">
        <v>463</v>
      </c>
      <c r="D310" s="240"/>
      <c r="E310" s="241"/>
      <c r="F310" s="70"/>
      <c r="G310" s="71"/>
      <c r="H310" s="240" t="s">
        <v>10</v>
      </c>
      <c r="I310" s="240"/>
      <c r="J310" s="240"/>
      <c r="K310" s="241"/>
      <c r="L310" s="49"/>
      <c r="M310" s="49"/>
      <c r="N310" s="49"/>
      <c r="O310" s="49"/>
      <c r="P310" s="49"/>
      <c r="Q310" s="49"/>
      <c r="R310" s="72"/>
      <c r="S310" s="49"/>
      <c r="T310" s="49"/>
      <c r="U310" s="49"/>
      <c r="V310" s="49"/>
      <c r="W310" s="49"/>
      <c r="X310" s="49"/>
      <c r="Y310" s="49"/>
      <c r="Z310" s="49"/>
      <c r="AA310" s="49"/>
      <c r="AB310" s="49"/>
      <c r="AC310" s="49">
        <f t="shared" si="88"/>
        <v>0</v>
      </c>
      <c r="AD310" s="49"/>
      <c r="AE310" s="49"/>
      <c r="AF310" s="49"/>
      <c r="AG310" s="49"/>
      <c r="AH310" s="49"/>
      <c r="AI310" s="49"/>
      <c r="AJ310" s="49"/>
      <c r="AK310" s="49"/>
      <c r="AL310" s="49"/>
      <c r="AM310" s="49"/>
      <c r="AN310" s="49"/>
      <c r="AO310" s="49"/>
      <c r="AP310" s="49"/>
      <c r="AQ310" s="49"/>
      <c r="AR310" s="49"/>
      <c r="AS310" s="49"/>
      <c r="AT310" s="49"/>
      <c r="AU310" s="49"/>
      <c r="AV310" s="49"/>
      <c r="AW310" s="49"/>
      <c r="AX310" s="49"/>
      <c r="AY310" s="49"/>
      <c r="AZ310" s="73">
        <f t="shared" si="87"/>
        <v>0</v>
      </c>
    </row>
    <row r="311" spans="1:54" ht="20.100000000000001" customHeight="1">
      <c r="A311" s="68"/>
      <c r="B311" s="69"/>
      <c r="C311" s="240" t="s">
        <v>464</v>
      </c>
      <c r="D311" s="240"/>
      <c r="E311" s="241"/>
      <c r="F311" s="70"/>
      <c r="G311" s="71"/>
      <c r="H311" s="71"/>
      <c r="I311" s="240" t="s">
        <v>177</v>
      </c>
      <c r="J311" s="240"/>
      <c r="K311" s="241"/>
      <c r="L311" s="49"/>
      <c r="M311" s="49"/>
      <c r="N311" s="49"/>
      <c r="O311" s="49"/>
      <c r="P311" s="49"/>
      <c r="Q311" s="49"/>
      <c r="R311" s="72"/>
      <c r="S311" s="49"/>
      <c r="T311" s="49"/>
      <c r="U311" s="49"/>
      <c r="V311" s="49"/>
      <c r="W311" s="49"/>
      <c r="X311" s="49"/>
      <c r="Y311" s="49"/>
      <c r="Z311" s="49"/>
      <c r="AA311" s="49"/>
      <c r="AB311" s="49"/>
      <c r="AC311" s="49">
        <f t="shared" si="88"/>
        <v>0</v>
      </c>
      <c r="AD311" s="49"/>
      <c r="AE311" s="49"/>
      <c r="AF311" s="49"/>
      <c r="AG311" s="49"/>
      <c r="AH311" s="49"/>
      <c r="AI311" s="49"/>
      <c r="AJ311" s="49"/>
      <c r="AK311" s="49"/>
      <c r="AL311" s="49"/>
      <c r="AM311" s="49"/>
      <c r="AN311" s="49"/>
      <c r="AO311" s="49"/>
      <c r="AP311" s="49"/>
      <c r="AQ311" s="49"/>
      <c r="AR311" s="49"/>
      <c r="AS311" s="49"/>
      <c r="AT311" s="49"/>
      <c r="AU311" s="49"/>
      <c r="AV311" s="49"/>
      <c r="AW311" s="49"/>
      <c r="AX311" s="49"/>
      <c r="AY311" s="49"/>
      <c r="AZ311" s="73">
        <f t="shared" si="87"/>
        <v>0</v>
      </c>
    </row>
    <row r="312" spans="1:54" ht="20.100000000000001" customHeight="1">
      <c r="A312" s="68"/>
      <c r="B312" s="69"/>
      <c r="C312" s="240" t="s">
        <v>465</v>
      </c>
      <c r="D312" s="240"/>
      <c r="E312" s="241"/>
      <c r="F312" s="70"/>
      <c r="G312" s="71"/>
      <c r="H312" s="71"/>
      <c r="I312" s="71"/>
      <c r="J312" s="240" t="s">
        <v>283</v>
      </c>
      <c r="K312" s="241"/>
      <c r="L312" s="49">
        <v>2300000</v>
      </c>
      <c r="M312" s="49">
        <v>0</v>
      </c>
      <c r="N312" s="49"/>
      <c r="O312" s="49"/>
      <c r="P312" s="49"/>
      <c r="Q312" s="49">
        <f>SUM(N312:P312)</f>
        <v>0</v>
      </c>
      <c r="R312" s="72"/>
      <c r="S312" s="49">
        <f>M312-Q312</f>
        <v>0</v>
      </c>
      <c r="T312" s="49">
        <v>0</v>
      </c>
      <c r="U312" s="49">
        <f>T312+M312</f>
        <v>0</v>
      </c>
      <c r="V312" s="49">
        <f>T312+S312</f>
        <v>0</v>
      </c>
      <c r="W312" s="49"/>
      <c r="X312" s="49"/>
      <c r="Y312" s="49"/>
      <c r="Z312" s="49"/>
      <c r="AA312" s="49">
        <v>2300000</v>
      </c>
      <c r="AB312" s="49">
        <v>2300000</v>
      </c>
      <c r="AC312" s="49">
        <f t="shared" si="88"/>
        <v>0</v>
      </c>
      <c r="AD312" s="49">
        <f>AA312+T312+M312</f>
        <v>2300000</v>
      </c>
      <c r="AE312" s="49"/>
      <c r="AF312" s="49"/>
      <c r="AG312" s="49"/>
      <c r="AH312" s="49"/>
      <c r="AI312" s="49"/>
      <c r="AJ312" s="49"/>
      <c r="AK312" s="49">
        <f>Z312+Y312+X312+W312+N312+AG312+AJ312+AI312+AH312</f>
        <v>0</v>
      </c>
      <c r="AL312" s="49">
        <f>AK312/AD312*100</f>
        <v>0</v>
      </c>
      <c r="AM312" s="49"/>
      <c r="AN312" s="49"/>
      <c r="AO312" s="42">
        <v>2300000</v>
      </c>
      <c r="AP312" s="49"/>
      <c r="AQ312" s="49">
        <f>AK312+AM312+AN312+AO312+AP312</f>
        <v>2300000</v>
      </c>
      <c r="AR312" s="49">
        <f>AQ312/AB312*100</f>
        <v>100</v>
      </c>
      <c r="AS312" s="49">
        <f>AB312-AQ312</f>
        <v>0</v>
      </c>
      <c r="AT312" s="49">
        <v>3091500</v>
      </c>
      <c r="AU312" s="49">
        <f>AT312+U312</f>
        <v>3091500</v>
      </c>
      <c r="AV312" s="49">
        <f>AK312</f>
        <v>0</v>
      </c>
      <c r="AW312" s="72">
        <f>AV312/AU312*100</f>
        <v>0</v>
      </c>
      <c r="AX312" s="49">
        <f>AU312-AV312</f>
        <v>3091500</v>
      </c>
      <c r="AY312" s="49">
        <f>AS312/AB312*100</f>
        <v>0</v>
      </c>
      <c r="AZ312" s="73">
        <f t="shared" si="87"/>
        <v>0</v>
      </c>
    </row>
    <row r="313" spans="1:54" ht="20.100000000000001" customHeight="1">
      <c r="A313" s="68"/>
      <c r="B313" s="69"/>
      <c r="C313" s="240" t="s">
        <v>466</v>
      </c>
      <c r="D313" s="240"/>
      <c r="E313" s="241"/>
      <c r="F313" s="70"/>
      <c r="G313" s="71"/>
      <c r="H313" s="240" t="s">
        <v>143</v>
      </c>
      <c r="I313" s="240"/>
      <c r="J313" s="240"/>
      <c r="K313" s="241"/>
      <c r="L313" s="49"/>
      <c r="M313" s="49"/>
      <c r="N313" s="49"/>
      <c r="O313" s="49"/>
      <c r="P313" s="49"/>
      <c r="Q313" s="49"/>
      <c r="R313" s="72"/>
      <c r="S313" s="49"/>
      <c r="T313" s="49"/>
      <c r="U313" s="49"/>
      <c r="V313" s="49"/>
      <c r="W313" s="49"/>
      <c r="X313" s="49"/>
      <c r="Y313" s="49"/>
      <c r="Z313" s="49"/>
      <c r="AA313" s="49"/>
      <c r="AB313" s="49"/>
      <c r="AC313" s="49">
        <f t="shared" si="88"/>
        <v>0</v>
      </c>
      <c r="AD313" s="49"/>
      <c r="AE313" s="49"/>
      <c r="AF313" s="49"/>
      <c r="AG313" s="49"/>
      <c r="AH313" s="49"/>
      <c r="AI313" s="49"/>
      <c r="AJ313" s="49"/>
      <c r="AK313" s="49"/>
      <c r="AL313" s="49"/>
      <c r="AM313" s="49"/>
      <c r="AN313" s="49"/>
      <c r="AO313" s="49"/>
      <c r="AP313" s="49"/>
      <c r="AQ313" s="49"/>
      <c r="AR313" s="49"/>
      <c r="AS313" s="49"/>
      <c r="AT313" s="49"/>
      <c r="AU313" s="49"/>
      <c r="AV313" s="49"/>
      <c r="AW313" s="49"/>
      <c r="AX313" s="49"/>
      <c r="AY313" s="49"/>
      <c r="AZ313" s="73">
        <f t="shared" si="87"/>
        <v>0</v>
      </c>
    </row>
    <row r="314" spans="1:54" ht="20.100000000000001" customHeight="1">
      <c r="A314" s="68"/>
      <c r="B314" s="69"/>
      <c r="C314" s="240" t="s">
        <v>467</v>
      </c>
      <c r="D314" s="240"/>
      <c r="E314" s="241"/>
      <c r="F314" s="70"/>
      <c r="G314" s="71"/>
      <c r="H314" s="71"/>
      <c r="I314" s="240" t="s">
        <v>145</v>
      </c>
      <c r="J314" s="240"/>
      <c r="K314" s="241"/>
      <c r="L314" s="49"/>
      <c r="M314" s="49"/>
      <c r="N314" s="49"/>
      <c r="O314" s="49"/>
      <c r="P314" s="49"/>
      <c r="Q314" s="49"/>
      <c r="R314" s="72"/>
      <c r="S314" s="49"/>
      <c r="T314" s="49"/>
      <c r="U314" s="49"/>
      <c r="V314" s="49"/>
      <c r="W314" s="49"/>
      <c r="X314" s="49"/>
      <c r="Y314" s="49"/>
      <c r="Z314" s="49"/>
      <c r="AA314" s="49"/>
      <c r="AB314" s="49"/>
      <c r="AC314" s="49">
        <f t="shared" si="88"/>
        <v>0</v>
      </c>
      <c r="AD314" s="49"/>
      <c r="AE314" s="49"/>
      <c r="AF314" s="49"/>
      <c r="AG314" s="49"/>
      <c r="AH314" s="49"/>
      <c r="AI314" s="49"/>
      <c r="AJ314" s="49"/>
      <c r="AK314" s="49"/>
      <c r="AL314" s="49"/>
      <c r="AM314" s="49"/>
      <c r="AN314" s="49"/>
      <c r="AO314" s="49"/>
      <c r="AP314" s="49"/>
      <c r="AQ314" s="49"/>
      <c r="AR314" s="49"/>
      <c r="AS314" s="49"/>
      <c r="AT314" s="49"/>
      <c r="AU314" s="49"/>
      <c r="AV314" s="49"/>
      <c r="AW314" s="49"/>
      <c r="AX314" s="49"/>
      <c r="AY314" s="49"/>
      <c r="AZ314" s="73">
        <f t="shared" si="87"/>
        <v>0</v>
      </c>
    </row>
    <row r="315" spans="1:54" ht="20.100000000000001" customHeight="1">
      <c r="A315" s="68"/>
      <c r="B315" s="69"/>
      <c r="C315" s="240" t="s">
        <v>468</v>
      </c>
      <c r="D315" s="240"/>
      <c r="E315" s="241"/>
      <c r="F315" s="70"/>
      <c r="G315" s="71"/>
      <c r="H315" s="71"/>
      <c r="I315" s="71"/>
      <c r="J315" s="240" t="s">
        <v>147</v>
      </c>
      <c r="K315" s="241"/>
      <c r="L315" s="49">
        <v>1190000</v>
      </c>
      <c r="M315" s="49">
        <v>0</v>
      </c>
      <c r="N315" s="49"/>
      <c r="O315" s="49"/>
      <c r="P315" s="49"/>
      <c r="Q315" s="49">
        <f>SUM(N315:P315)</f>
        <v>0</v>
      </c>
      <c r="R315" s="72"/>
      <c r="S315" s="49">
        <f>M315-Q315</f>
        <v>0</v>
      </c>
      <c r="T315" s="49">
        <v>0</v>
      </c>
      <c r="U315" s="49">
        <f>T315+M315</f>
        <v>0</v>
      </c>
      <c r="V315" s="49">
        <f>T315+S315</f>
        <v>0</v>
      </c>
      <c r="W315" s="49"/>
      <c r="X315" s="49"/>
      <c r="Y315" s="49"/>
      <c r="Z315" s="49"/>
      <c r="AA315" s="49">
        <v>1190000</v>
      </c>
      <c r="AB315" s="49">
        <v>1190000</v>
      </c>
      <c r="AC315" s="49">
        <f t="shared" si="88"/>
        <v>0</v>
      </c>
      <c r="AD315" s="49">
        <f>AA315+T315+M315</f>
        <v>1190000</v>
      </c>
      <c r="AE315" s="49"/>
      <c r="AF315" s="49"/>
      <c r="AG315" s="49"/>
      <c r="AH315" s="49"/>
      <c r="AI315" s="49"/>
      <c r="AJ315" s="49"/>
      <c r="AK315" s="49">
        <f>Z315+Y315+X315+W315+N315+AG315+AJ315+AI315+AH315</f>
        <v>0</v>
      </c>
      <c r="AL315" s="49">
        <f>AK315/AD315*100</f>
        <v>0</v>
      </c>
      <c r="AM315" s="49"/>
      <c r="AN315" s="49"/>
      <c r="AO315" s="42">
        <v>1190000</v>
      </c>
      <c r="AP315" s="49"/>
      <c r="AQ315" s="49">
        <f>AK315+AM315+AN315+AO315+AP315</f>
        <v>1190000</v>
      </c>
      <c r="AR315" s="49">
        <f>AQ315/AB315*100</f>
        <v>100</v>
      </c>
      <c r="AS315" s="49">
        <f>AB315-AQ315</f>
        <v>0</v>
      </c>
      <c r="AT315" s="49">
        <v>3091500</v>
      </c>
      <c r="AU315" s="49">
        <f>AT315+U315</f>
        <v>3091500</v>
      </c>
      <c r="AV315" s="49">
        <f>AK315</f>
        <v>0</v>
      </c>
      <c r="AW315" s="72">
        <f>AV315/AU315*100</f>
        <v>0</v>
      </c>
      <c r="AX315" s="49">
        <f>AU315-AV315</f>
        <v>3091500</v>
      </c>
      <c r="AY315" s="49">
        <f>AS315/AB315*100</f>
        <v>0</v>
      </c>
      <c r="AZ315" s="73">
        <f t="shared" si="87"/>
        <v>0</v>
      </c>
    </row>
    <row r="316" spans="1:54" ht="20.100000000000001" customHeight="1">
      <c r="A316" s="68"/>
      <c r="B316" s="69"/>
      <c r="C316" s="240" t="s">
        <v>469</v>
      </c>
      <c r="D316" s="240"/>
      <c r="E316" s="241"/>
      <c r="F316" s="70"/>
      <c r="G316" s="71"/>
      <c r="H316" s="71"/>
      <c r="I316" s="240" t="s">
        <v>163</v>
      </c>
      <c r="J316" s="240"/>
      <c r="K316" s="241"/>
      <c r="L316" s="49"/>
      <c r="M316" s="49"/>
      <c r="N316" s="49"/>
      <c r="O316" s="49"/>
      <c r="P316" s="49"/>
      <c r="Q316" s="49"/>
      <c r="R316" s="72"/>
      <c r="S316" s="49"/>
      <c r="T316" s="49"/>
      <c r="U316" s="49"/>
      <c r="V316" s="49"/>
      <c r="W316" s="49"/>
      <c r="X316" s="49"/>
      <c r="Y316" s="49"/>
      <c r="Z316" s="49"/>
      <c r="AA316" s="49"/>
      <c r="AB316" s="49"/>
      <c r="AC316" s="49">
        <f t="shared" si="88"/>
        <v>0</v>
      </c>
      <c r="AD316" s="49"/>
      <c r="AE316" s="49"/>
      <c r="AF316" s="49"/>
      <c r="AG316" s="49"/>
      <c r="AH316" s="49"/>
      <c r="AI316" s="49"/>
      <c r="AJ316" s="49"/>
      <c r="AK316" s="49"/>
      <c r="AL316" s="49"/>
      <c r="AM316" s="49"/>
      <c r="AN316" s="49"/>
      <c r="AO316" s="49"/>
      <c r="AP316" s="49"/>
      <c r="AQ316" s="49"/>
      <c r="AR316" s="49"/>
      <c r="AS316" s="49"/>
      <c r="AT316" s="49"/>
      <c r="AU316" s="49"/>
      <c r="AV316" s="49"/>
      <c r="AW316" s="49"/>
      <c r="AX316" s="49"/>
      <c r="AY316" s="49"/>
      <c r="AZ316" s="73">
        <f t="shared" si="87"/>
        <v>0</v>
      </c>
    </row>
    <row r="317" spans="1:54" ht="20.100000000000001" customHeight="1">
      <c r="A317" s="68"/>
      <c r="B317" s="69"/>
      <c r="C317" s="240" t="s">
        <v>501</v>
      </c>
      <c r="D317" s="240"/>
      <c r="E317" s="241"/>
      <c r="F317" s="70"/>
      <c r="G317" s="71"/>
      <c r="H317" s="71"/>
      <c r="I317" s="71"/>
      <c r="J317" s="240" t="s">
        <v>349</v>
      </c>
      <c r="K317" s="241"/>
      <c r="L317" s="49">
        <v>337000</v>
      </c>
      <c r="M317" s="49">
        <v>0</v>
      </c>
      <c r="N317" s="49"/>
      <c r="O317" s="49"/>
      <c r="P317" s="49"/>
      <c r="Q317" s="49">
        <f>SUM(N317:P317)</f>
        <v>0</v>
      </c>
      <c r="R317" s="72"/>
      <c r="S317" s="49">
        <f>M317-Q317</f>
        <v>0</v>
      </c>
      <c r="T317" s="49">
        <v>0</v>
      </c>
      <c r="U317" s="49">
        <f>T317+M317</f>
        <v>0</v>
      </c>
      <c r="V317" s="49">
        <f>T317+S317</f>
        <v>0</v>
      </c>
      <c r="W317" s="49"/>
      <c r="X317" s="49"/>
      <c r="Y317" s="49"/>
      <c r="Z317" s="49"/>
      <c r="AA317" s="49">
        <v>337000</v>
      </c>
      <c r="AB317" s="49">
        <v>337000</v>
      </c>
      <c r="AC317" s="49">
        <f t="shared" si="88"/>
        <v>0</v>
      </c>
      <c r="AD317" s="49">
        <f>AA317+T317+M317</f>
        <v>337000</v>
      </c>
      <c r="AE317" s="49"/>
      <c r="AF317" s="49"/>
      <c r="AG317" s="49"/>
      <c r="AH317" s="49"/>
      <c r="AI317" s="49"/>
      <c r="AJ317" s="49"/>
      <c r="AK317" s="49">
        <f>Z317+Y317+X317+W317+N317+AG317+AJ317+AI317+AH317</f>
        <v>0</v>
      </c>
      <c r="AL317" s="49">
        <f>AK317/AD317*100</f>
        <v>0</v>
      </c>
      <c r="AM317" s="49"/>
      <c r="AN317" s="49"/>
      <c r="AO317" s="42">
        <v>337000</v>
      </c>
      <c r="AP317" s="49"/>
      <c r="AQ317" s="49">
        <f>AK317+AM317+AN317+AO317+AP317</f>
        <v>337000</v>
      </c>
      <c r="AR317" s="49">
        <f>AQ317/AB317*100</f>
        <v>100</v>
      </c>
      <c r="AS317" s="49">
        <f>AB317-AQ317</f>
        <v>0</v>
      </c>
      <c r="AT317" s="49">
        <v>3091500</v>
      </c>
      <c r="AU317" s="49">
        <f>AT317+U317</f>
        <v>3091500</v>
      </c>
      <c r="AV317" s="49">
        <f>AK317</f>
        <v>0</v>
      </c>
      <c r="AW317" s="72">
        <f>AV317/AU317*100</f>
        <v>0</v>
      </c>
      <c r="AX317" s="49">
        <f>AU317-AV317</f>
        <v>3091500</v>
      </c>
      <c r="AY317" s="49">
        <f>AS317/AB317*100</f>
        <v>0</v>
      </c>
      <c r="AZ317" s="73">
        <f t="shared" si="87"/>
        <v>0</v>
      </c>
    </row>
    <row r="318" spans="1:54" ht="20.100000000000001" customHeight="1">
      <c r="A318" s="68"/>
      <c r="B318" s="69"/>
      <c r="C318" s="240" t="s">
        <v>471</v>
      </c>
      <c r="D318" s="240"/>
      <c r="E318" s="241"/>
      <c r="F318" s="70"/>
      <c r="G318" s="71"/>
      <c r="H318" s="71"/>
      <c r="I318" s="71"/>
      <c r="J318" s="240" t="s">
        <v>352</v>
      </c>
      <c r="K318" s="241"/>
      <c r="L318" s="49">
        <v>4000000</v>
      </c>
      <c r="M318" s="49">
        <v>0</v>
      </c>
      <c r="N318" s="49"/>
      <c r="O318" s="49"/>
      <c r="P318" s="49"/>
      <c r="Q318" s="49">
        <f>SUM(N318:P318)</f>
        <v>0</v>
      </c>
      <c r="R318" s="72"/>
      <c r="S318" s="49">
        <f>M318-Q318</f>
        <v>0</v>
      </c>
      <c r="T318" s="49">
        <v>0</v>
      </c>
      <c r="U318" s="49">
        <f>T318+M318</f>
        <v>0</v>
      </c>
      <c r="V318" s="49">
        <f>T318+S318</f>
        <v>0</v>
      </c>
      <c r="W318" s="49"/>
      <c r="X318" s="49"/>
      <c r="Y318" s="49"/>
      <c r="Z318" s="49"/>
      <c r="AA318" s="49">
        <v>4000000</v>
      </c>
      <c r="AB318" s="49">
        <v>4000000</v>
      </c>
      <c r="AC318" s="49">
        <f t="shared" si="88"/>
        <v>0</v>
      </c>
      <c r="AD318" s="49">
        <f>AA318+T318+M318</f>
        <v>4000000</v>
      </c>
      <c r="AE318" s="49"/>
      <c r="AF318" s="49"/>
      <c r="AG318" s="49"/>
      <c r="AH318" s="49"/>
      <c r="AI318" s="49"/>
      <c r="AJ318" s="49"/>
      <c r="AK318" s="49">
        <f>Z318+Y318+X318+W318+N318+AG318+AJ318+AI318+AH318</f>
        <v>0</v>
      </c>
      <c r="AL318" s="49">
        <f>AK318/AD318*100</f>
        <v>0</v>
      </c>
      <c r="AM318" s="49"/>
      <c r="AN318" s="49"/>
      <c r="AO318" s="42">
        <v>4000000</v>
      </c>
      <c r="AP318" s="49"/>
      <c r="AQ318" s="49">
        <f>AK318+AM318+AN318+AO318+AP318</f>
        <v>4000000</v>
      </c>
      <c r="AR318" s="49">
        <f>AQ318/AB318*100</f>
        <v>100</v>
      </c>
      <c r="AS318" s="49">
        <f>AB318-AQ318</f>
        <v>0</v>
      </c>
      <c r="AT318" s="49">
        <v>3091500</v>
      </c>
      <c r="AU318" s="49">
        <f>AT318+U318</f>
        <v>3091500</v>
      </c>
      <c r="AV318" s="49">
        <f>AK318</f>
        <v>0</v>
      </c>
      <c r="AW318" s="72">
        <f>AV318/AU318*100</f>
        <v>0</v>
      </c>
      <c r="AX318" s="49">
        <f>AU318-AV318</f>
        <v>3091500</v>
      </c>
      <c r="AY318" s="49">
        <f>AS318/AB318*100</f>
        <v>0</v>
      </c>
      <c r="AZ318" s="73">
        <f t="shared" si="87"/>
        <v>0</v>
      </c>
    </row>
    <row r="319" spans="1:54" ht="20.100000000000001" customHeight="1">
      <c r="A319" s="68"/>
      <c r="B319" s="69"/>
      <c r="C319" s="240" t="s">
        <v>472</v>
      </c>
      <c r="D319" s="240"/>
      <c r="E319" s="241"/>
      <c r="F319" s="70"/>
      <c r="G319" s="71"/>
      <c r="H319" s="71"/>
      <c r="I319" s="240" t="s">
        <v>151</v>
      </c>
      <c r="J319" s="240"/>
      <c r="K319" s="241"/>
      <c r="L319" s="49"/>
      <c r="M319" s="49"/>
      <c r="N319" s="49"/>
      <c r="O319" s="49"/>
      <c r="P319" s="49"/>
      <c r="Q319" s="49"/>
      <c r="R319" s="72"/>
      <c r="S319" s="49"/>
      <c r="T319" s="49"/>
      <c r="U319" s="49"/>
      <c r="V319" s="49"/>
      <c r="W319" s="49"/>
      <c r="X319" s="49"/>
      <c r="Y319" s="49"/>
      <c r="Z319" s="49"/>
      <c r="AA319" s="49"/>
      <c r="AB319" s="49"/>
      <c r="AC319" s="49">
        <f t="shared" si="88"/>
        <v>0</v>
      </c>
      <c r="AD319" s="49"/>
      <c r="AE319" s="49"/>
      <c r="AF319" s="49"/>
      <c r="AG319" s="49"/>
      <c r="AH319" s="49"/>
      <c r="AI319" s="49"/>
      <c r="AJ319" s="49"/>
      <c r="AK319" s="49"/>
      <c r="AL319" s="49"/>
      <c r="AM319" s="49"/>
      <c r="AN319" s="49"/>
      <c r="AO319" s="49"/>
      <c r="AP319" s="49"/>
      <c r="AQ319" s="49"/>
      <c r="AR319" s="49"/>
      <c r="AS319" s="49"/>
      <c r="AT319" s="49"/>
      <c r="AU319" s="49"/>
      <c r="AV319" s="49"/>
      <c r="AW319" s="49"/>
      <c r="AX319" s="49"/>
      <c r="AY319" s="49"/>
      <c r="AZ319" s="73">
        <f t="shared" si="87"/>
        <v>0</v>
      </c>
    </row>
    <row r="320" spans="1:54" ht="20.100000000000001" customHeight="1">
      <c r="A320" s="68"/>
      <c r="B320" s="69"/>
      <c r="C320" s="240" t="s">
        <v>502</v>
      </c>
      <c r="D320" s="240"/>
      <c r="E320" s="241"/>
      <c r="F320" s="70"/>
      <c r="G320" s="71"/>
      <c r="H320" s="71"/>
      <c r="I320" s="71"/>
      <c r="J320" s="240" t="s">
        <v>153</v>
      </c>
      <c r="K320" s="241"/>
      <c r="L320" s="49">
        <v>675000</v>
      </c>
      <c r="M320" s="49">
        <v>0</v>
      </c>
      <c r="N320" s="49"/>
      <c r="O320" s="49"/>
      <c r="P320" s="49"/>
      <c r="Q320" s="49">
        <f>SUM(N320:P320)</f>
        <v>0</v>
      </c>
      <c r="R320" s="72"/>
      <c r="S320" s="49">
        <f>M320-Q320</f>
        <v>0</v>
      </c>
      <c r="T320" s="49">
        <v>0</v>
      </c>
      <c r="U320" s="49">
        <f>T320+M320</f>
        <v>0</v>
      </c>
      <c r="V320" s="49">
        <f>T320+S320</f>
        <v>0</v>
      </c>
      <c r="W320" s="49"/>
      <c r="X320" s="49"/>
      <c r="Y320" s="49"/>
      <c r="Z320" s="49"/>
      <c r="AA320" s="49">
        <v>675000</v>
      </c>
      <c r="AB320" s="49">
        <v>675000</v>
      </c>
      <c r="AC320" s="49">
        <f t="shared" si="88"/>
        <v>0</v>
      </c>
      <c r="AD320" s="49">
        <f>AA320+T320+M320</f>
        <v>675000</v>
      </c>
      <c r="AE320" s="49"/>
      <c r="AF320" s="49"/>
      <c r="AG320" s="49"/>
      <c r="AH320" s="49"/>
      <c r="AI320" s="49"/>
      <c r="AJ320" s="49"/>
      <c r="AK320" s="49">
        <f>Z320+Y320+X320+W320+N320+AG320+AJ320+AI320+AH320</f>
        <v>0</v>
      </c>
      <c r="AL320" s="49">
        <f>AK320/AD320*100</f>
        <v>0</v>
      </c>
      <c r="AM320" s="49"/>
      <c r="AN320" s="49"/>
      <c r="AO320" s="42">
        <v>675000</v>
      </c>
      <c r="AP320" s="49"/>
      <c r="AQ320" s="49">
        <f>AK320+AM320+AN320+AO320+AP320</f>
        <v>675000</v>
      </c>
      <c r="AR320" s="49">
        <f>AQ320/AB320*100</f>
        <v>100</v>
      </c>
      <c r="AS320" s="49">
        <f>AB320-AQ320</f>
        <v>0</v>
      </c>
      <c r="AT320" s="49">
        <v>3091500</v>
      </c>
      <c r="AU320" s="49">
        <f>AT320+U320</f>
        <v>3091500</v>
      </c>
      <c r="AV320" s="49">
        <f>AK320</f>
        <v>0</v>
      </c>
      <c r="AW320" s="72">
        <f>AV320/AU320*100</f>
        <v>0</v>
      </c>
      <c r="AX320" s="49">
        <f>AU320-AV320</f>
        <v>3091500</v>
      </c>
      <c r="AY320" s="49">
        <f>AS320/AB320*100</f>
        <v>0</v>
      </c>
      <c r="AZ320" s="73">
        <f t="shared" si="87"/>
        <v>0</v>
      </c>
    </row>
    <row r="321" spans="1:53" ht="20.100000000000001" customHeight="1">
      <c r="A321" s="68"/>
      <c r="B321" s="69"/>
      <c r="C321" s="240" t="s">
        <v>473</v>
      </c>
      <c r="D321" s="240"/>
      <c r="E321" s="241"/>
      <c r="F321" s="70"/>
      <c r="G321" s="71"/>
      <c r="H321" s="71"/>
      <c r="I321" s="71"/>
      <c r="J321" s="240" t="s">
        <v>155</v>
      </c>
      <c r="K321" s="241"/>
      <c r="L321" s="49">
        <v>417000</v>
      </c>
      <c r="M321" s="49">
        <v>0</v>
      </c>
      <c r="N321" s="49"/>
      <c r="O321" s="49"/>
      <c r="P321" s="49"/>
      <c r="Q321" s="49">
        <f>SUM(N321:P321)</f>
        <v>0</v>
      </c>
      <c r="R321" s="72"/>
      <c r="S321" s="49">
        <f>M321-Q321</f>
        <v>0</v>
      </c>
      <c r="T321" s="49">
        <v>0</v>
      </c>
      <c r="U321" s="49">
        <f>T321+M321</f>
        <v>0</v>
      </c>
      <c r="V321" s="49">
        <f>T321+S321</f>
        <v>0</v>
      </c>
      <c r="W321" s="49"/>
      <c r="X321" s="49"/>
      <c r="Y321" s="49"/>
      <c r="Z321" s="49"/>
      <c r="AA321" s="49">
        <v>417000</v>
      </c>
      <c r="AB321" s="49">
        <v>417000</v>
      </c>
      <c r="AC321" s="49">
        <f t="shared" si="88"/>
        <v>0</v>
      </c>
      <c r="AD321" s="49">
        <f>AA321+T321+M321</f>
        <v>417000</v>
      </c>
      <c r="AE321" s="49"/>
      <c r="AF321" s="49"/>
      <c r="AG321" s="49"/>
      <c r="AH321" s="49"/>
      <c r="AI321" s="49"/>
      <c r="AJ321" s="49"/>
      <c r="AK321" s="49">
        <f>Z321+Y321+X321+W321+N321+AG321+AJ321+AI321+AH321</f>
        <v>0</v>
      </c>
      <c r="AL321" s="49">
        <f>AK321/AD321*100</f>
        <v>0</v>
      </c>
      <c r="AM321" s="49"/>
      <c r="AN321" s="49"/>
      <c r="AO321" s="42">
        <v>416850</v>
      </c>
      <c r="AP321" s="49"/>
      <c r="AQ321" s="49">
        <f>AK321+AM321+AN321+AO321+AP321</f>
        <v>416850</v>
      </c>
      <c r="AR321" s="49">
        <f>AQ321/AB321*100</f>
        <v>99.964028776978424</v>
      </c>
      <c r="AS321" s="49">
        <f>AB321-AQ321</f>
        <v>150</v>
      </c>
      <c r="AT321" s="49">
        <v>3091500</v>
      </c>
      <c r="AU321" s="49">
        <f>AT321+U321</f>
        <v>3091500</v>
      </c>
      <c r="AV321" s="49">
        <f>AK321</f>
        <v>0</v>
      </c>
      <c r="AW321" s="72">
        <f>AV321/AU321*100</f>
        <v>0</v>
      </c>
      <c r="AX321" s="49">
        <f>AU321-AV321</f>
        <v>3091500</v>
      </c>
      <c r="AY321" s="49">
        <f>AS321/AB321*100</f>
        <v>3.5971223021582732E-2</v>
      </c>
      <c r="AZ321" s="73">
        <f t="shared" si="87"/>
        <v>0</v>
      </c>
    </row>
    <row r="322" spans="1:53" ht="20.100000000000001" customHeight="1">
      <c r="A322" s="68"/>
      <c r="B322" s="69"/>
      <c r="C322" s="240" t="s">
        <v>474</v>
      </c>
      <c r="D322" s="240"/>
      <c r="E322" s="241"/>
      <c r="F322" s="70"/>
      <c r="G322" s="71"/>
      <c r="H322" s="71"/>
      <c r="I322" s="240" t="s">
        <v>193</v>
      </c>
      <c r="J322" s="240"/>
      <c r="K322" s="241"/>
      <c r="L322" s="49"/>
      <c r="M322" s="49"/>
      <c r="N322" s="49"/>
      <c r="O322" s="49"/>
      <c r="P322" s="49"/>
      <c r="Q322" s="49"/>
      <c r="R322" s="72"/>
      <c r="S322" s="49"/>
      <c r="T322" s="49"/>
      <c r="U322" s="49"/>
      <c r="V322" s="49"/>
      <c r="W322" s="49"/>
      <c r="X322" s="49"/>
      <c r="Y322" s="49"/>
      <c r="Z322" s="49"/>
      <c r="AA322" s="49"/>
      <c r="AB322" s="49"/>
      <c r="AC322" s="49">
        <f t="shared" si="88"/>
        <v>0</v>
      </c>
      <c r="AD322" s="49"/>
      <c r="AE322" s="49"/>
      <c r="AF322" s="49"/>
      <c r="AG322" s="49"/>
      <c r="AH322" s="49"/>
      <c r="AI322" s="49"/>
      <c r="AJ322" s="49"/>
      <c r="AK322" s="49"/>
      <c r="AL322" s="49"/>
      <c r="AM322" s="49"/>
      <c r="AN322" s="49"/>
      <c r="AO322" s="49"/>
      <c r="AP322" s="49"/>
      <c r="AQ322" s="49"/>
      <c r="AR322" s="49"/>
      <c r="AS322" s="49"/>
      <c r="AT322" s="49"/>
      <c r="AU322" s="49"/>
      <c r="AV322" s="49"/>
      <c r="AW322" s="49"/>
      <c r="AX322" s="49"/>
      <c r="AY322" s="49"/>
      <c r="AZ322" s="73">
        <f t="shared" si="87"/>
        <v>0</v>
      </c>
    </row>
    <row r="323" spans="1:53" ht="20.100000000000001" customHeight="1">
      <c r="A323" s="68"/>
      <c r="B323" s="69"/>
      <c r="C323" s="240" t="s">
        <v>475</v>
      </c>
      <c r="D323" s="240"/>
      <c r="E323" s="241"/>
      <c r="F323" s="70"/>
      <c r="G323" s="71"/>
      <c r="H323" s="71"/>
      <c r="I323" s="71"/>
      <c r="J323" s="240" t="s">
        <v>195</v>
      </c>
      <c r="K323" s="241"/>
      <c r="L323" s="49">
        <v>4725000</v>
      </c>
      <c r="M323" s="49">
        <v>0</v>
      </c>
      <c r="N323" s="49"/>
      <c r="O323" s="49"/>
      <c r="P323" s="49"/>
      <c r="Q323" s="49">
        <f>SUM(N323:P323)</f>
        <v>0</v>
      </c>
      <c r="R323" s="72"/>
      <c r="S323" s="49">
        <f>M323-Q323</f>
        <v>0</v>
      </c>
      <c r="T323" s="49">
        <v>0</v>
      </c>
      <c r="U323" s="49">
        <f>T323+M323</f>
        <v>0</v>
      </c>
      <c r="V323" s="49">
        <f>T323+S323</f>
        <v>0</v>
      </c>
      <c r="W323" s="49"/>
      <c r="X323" s="49"/>
      <c r="Y323" s="49"/>
      <c r="Z323" s="49"/>
      <c r="AA323" s="49">
        <v>4725000</v>
      </c>
      <c r="AB323" s="49">
        <v>4725000</v>
      </c>
      <c r="AC323" s="49">
        <f t="shared" si="88"/>
        <v>0</v>
      </c>
      <c r="AD323" s="49">
        <f>AA323+T323+M323</f>
        <v>4725000</v>
      </c>
      <c r="AE323" s="49"/>
      <c r="AF323" s="49"/>
      <c r="AG323" s="49"/>
      <c r="AH323" s="49"/>
      <c r="AI323" s="49"/>
      <c r="AJ323" s="49"/>
      <c r="AK323" s="49">
        <f>Z323+Y323+X323+W323+N323+AG323+AJ323+AI323+AH323</f>
        <v>0</v>
      </c>
      <c r="AL323" s="49">
        <f>AK323/AD323*100</f>
        <v>0</v>
      </c>
      <c r="AM323" s="49"/>
      <c r="AN323" s="49"/>
      <c r="AO323" s="42">
        <f>3150000+1575000</f>
        <v>4725000</v>
      </c>
      <c r="AP323" s="49"/>
      <c r="AQ323" s="49">
        <f>AK323+AM323+AN323+AO323+AP323</f>
        <v>4725000</v>
      </c>
      <c r="AR323" s="49">
        <f>AQ323/AB323*100</f>
        <v>100</v>
      </c>
      <c r="AS323" s="49">
        <f>AB323-AQ323</f>
        <v>0</v>
      </c>
      <c r="AT323" s="49">
        <v>3091500</v>
      </c>
      <c r="AU323" s="49">
        <f>AT323+U323</f>
        <v>3091500</v>
      </c>
      <c r="AV323" s="49">
        <f>AK323</f>
        <v>0</v>
      </c>
      <c r="AW323" s="72">
        <f>AV323/AU323*100</f>
        <v>0</v>
      </c>
      <c r="AX323" s="49">
        <f>AU323-AV323</f>
        <v>3091500</v>
      </c>
      <c r="AY323" s="49">
        <f>AS323/AB323*100</f>
        <v>0</v>
      </c>
      <c r="AZ323" s="73">
        <f t="shared" si="87"/>
        <v>0</v>
      </c>
    </row>
    <row r="324" spans="1:53" ht="20.100000000000001" customHeight="1">
      <c r="A324" s="68"/>
      <c r="B324" s="69"/>
      <c r="C324" s="240" t="s">
        <v>476</v>
      </c>
      <c r="D324" s="240"/>
      <c r="E324" s="241"/>
      <c r="F324" s="70"/>
      <c r="G324" s="71"/>
      <c r="H324" s="71"/>
      <c r="I324" s="240" t="s">
        <v>157</v>
      </c>
      <c r="J324" s="240"/>
      <c r="K324" s="241"/>
      <c r="L324" s="49"/>
      <c r="M324" s="49"/>
      <c r="N324" s="49"/>
      <c r="O324" s="49"/>
      <c r="P324" s="49"/>
      <c r="Q324" s="49"/>
      <c r="R324" s="72"/>
      <c r="S324" s="49"/>
      <c r="T324" s="49"/>
      <c r="U324" s="49"/>
      <c r="V324" s="49"/>
      <c r="W324" s="49"/>
      <c r="X324" s="49"/>
      <c r="Y324" s="49"/>
      <c r="Z324" s="49"/>
      <c r="AA324" s="49"/>
      <c r="AB324" s="49"/>
      <c r="AC324" s="49">
        <f t="shared" si="88"/>
        <v>0</v>
      </c>
      <c r="AD324" s="49"/>
      <c r="AE324" s="49"/>
      <c r="AF324" s="49"/>
      <c r="AG324" s="49"/>
      <c r="AH324" s="49"/>
      <c r="AI324" s="49"/>
      <c r="AJ324" s="49"/>
      <c r="AK324" s="49"/>
      <c r="AL324" s="49"/>
      <c r="AM324" s="49"/>
      <c r="AN324" s="49"/>
      <c r="AO324" s="49"/>
      <c r="AP324" s="49"/>
      <c r="AQ324" s="49"/>
      <c r="AR324" s="49"/>
      <c r="AS324" s="49"/>
      <c r="AT324" s="49"/>
      <c r="AU324" s="49"/>
      <c r="AV324" s="49"/>
      <c r="AW324" s="49"/>
      <c r="AX324" s="49"/>
      <c r="AY324" s="49"/>
      <c r="AZ324" s="73">
        <f t="shared" si="87"/>
        <v>0</v>
      </c>
    </row>
    <row r="325" spans="1:53" ht="20.100000000000001" customHeight="1">
      <c r="A325" s="68"/>
      <c r="B325" s="69"/>
      <c r="C325" s="240" t="s">
        <v>477</v>
      </c>
      <c r="D325" s="240"/>
      <c r="E325" s="241"/>
      <c r="F325" s="70"/>
      <c r="G325" s="71"/>
      <c r="H325" s="71"/>
      <c r="I325" s="71"/>
      <c r="J325" s="240" t="s">
        <v>159</v>
      </c>
      <c r="K325" s="241"/>
      <c r="L325" s="49">
        <v>3440000</v>
      </c>
      <c r="M325" s="49">
        <v>0</v>
      </c>
      <c r="N325" s="49"/>
      <c r="O325" s="49"/>
      <c r="P325" s="49"/>
      <c r="Q325" s="49">
        <f>SUM(N325:P325)</f>
        <v>0</v>
      </c>
      <c r="R325" s="72"/>
      <c r="S325" s="49">
        <f>M325-Q325</f>
        <v>0</v>
      </c>
      <c r="T325" s="49">
        <v>0</v>
      </c>
      <c r="U325" s="49">
        <f>T325+M325</f>
        <v>0</v>
      </c>
      <c r="V325" s="49">
        <f>T325+S325</f>
        <v>0</v>
      </c>
      <c r="W325" s="49"/>
      <c r="X325" s="49"/>
      <c r="Y325" s="49"/>
      <c r="Z325" s="49"/>
      <c r="AA325" s="49">
        <v>3440000</v>
      </c>
      <c r="AB325" s="49">
        <v>3440000</v>
      </c>
      <c r="AC325" s="49">
        <f t="shared" si="88"/>
        <v>0</v>
      </c>
      <c r="AD325" s="49">
        <f>AA325+T325+M325</f>
        <v>3440000</v>
      </c>
      <c r="AE325" s="49"/>
      <c r="AF325" s="49"/>
      <c r="AG325" s="49"/>
      <c r="AH325" s="49"/>
      <c r="AI325" s="49"/>
      <c r="AJ325" s="49"/>
      <c r="AK325" s="49">
        <f>Z325+Y325+X325+W325+N325+AG325+AJ325+AI325+AH325</f>
        <v>0</v>
      </c>
      <c r="AL325" s="49">
        <f>AK325/AD325*100</f>
        <v>0</v>
      </c>
      <c r="AM325" s="49"/>
      <c r="AN325" s="49"/>
      <c r="AO325" s="42">
        <v>3440000</v>
      </c>
      <c r="AP325" s="49"/>
      <c r="AQ325" s="49">
        <f>AK325+AM325+AN325+AO325+AP325</f>
        <v>3440000</v>
      </c>
      <c r="AR325" s="49">
        <f>AQ325/AB325*100</f>
        <v>100</v>
      </c>
      <c r="AS325" s="49">
        <f>AB325-AQ325</f>
        <v>0</v>
      </c>
      <c r="AT325" s="49">
        <v>3091500</v>
      </c>
      <c r="AU325" s="49">
        <f>AT325+U325</f>
        <v>3091500</v>
      </c>
      <c r="AV325" s="49">
        <f>AK325</f>
        <v>0</v>
      </c>
      <c r="AW325" s="72">
        <f>AV325/AU325*100</f>
        <v>0</v>
      </c>
      <c r="AX325" s="49">
        <f>AU325-AV325</f>
        <v>3091500</v>
      </c>
      <c r="AY325" s="49">
        <f>AS325/AB325*100</f>
        <v>0</v>
      </c>
      <c r="AZ325" s="73">
        <f t="shared" si="87"/>
        <v>0</v>
      </c>
    </row>
    <row r="326" spans="1:53" ht="20.100000000000001" customHeight="1">
      <c r="A326" s="68"/>
      <c r="B326" s="69"/>
      <c r="C326" s="240" t="s">
        <v>478</v>
      </c>
      <c r="D326" s="240"/>
      <c r="E326" s="241"/>
      <c r="F326" s="70"/>
      <c r="G326" s="71"/>
      <c r="H326" s="71"/>
      <c r="I326" s="71"/>
      <c r="J326" s="240" t="s">
        <v>207</v>
      </c>
      <c r="K326" s="241"/>
      <c r="L326" s="49">
        <v>2200000</v>
      </c>
      <c r="M326" s="49">
        <v>0</v>
      </c>
      <c r="N326" s="49"/>
      <c r="O326" s="49"/>
      <c r="P326" s="49"/>
      <c r="Q326" s="49">
        <f>SUM(N326:P326)</f>
        <v>0</v>
      </c>
      <c r="R326" s="72"/>
      <c r="S326" s="49">
        <f>M326-Q326</f>
        <v>0</v>
      </c>
      <c r="T326" s="49">
        <v>0</v>
      </c>
      <c r="U326" s="49">
        <f>T326+M326</f>
        <v>0</v>
      </c>
      <c r="V326" s="49">
        <f>T326+S326</f>
        <v>0</v>
      </c>
      <c r="W326" s="49"/>
      <c r="X326" s="49"/>
      <c r="Y326" s="49"/>
      <c r="Z326" s="49"/>
      <c r="AA326" s="49">
        <v>2200000</v>
      </c>
      <c r="AB326" s="49">
        <v>2200000</v>
      </c>
      <c r="AC326" s="49">
        <f t="shared" si="88"/>
        <v>0</v>
      </c>
      <c r="AD326" s="49">
        <f>AA326+T326+M326</f>
        <v>2200000</v>
      </c>
      <c r="AE326" s="49"/>
      <c r="AF326" s="49"/>
      <c r="AG326" s="49"/>
      <c r="AH326" s="49"/>
      <c r="AI326" s="49"/>
      <c r="AJ326" s="49"/>
      <c r="AK326" s="49">
        <f>Z326+Y326+X326+W326+N326+AG326+AJ326+AI326+AH326</f>
        <v>0</v>
      </c>
      <c r="AL326" s="49">
        <f>AK326/AD326*100</f>
        <v>0</v>
      </c>
      <c r="AM326" s="49"/>
      <c r="AN326" s="49"/>
      <c r="AO326" s="42">
        <v>2190000</v>
      </c>
      <c r="AP326" s="49"/>
      <c r="AQ326" s="49">
        <f>AK326+AM326+AN326+AO326+AP326</f>
        <v>2190000</v>
      </c>
      <c r="AR326" s="49">
        <f>AQ326/AB326*100</f>
        <v>99.545454545454547</v>
      </c>
      <c r="AS326" s="49">
        <f>AB326-AQ326</f>
        <v>10000</v>
      </c>
      <c r="AT326" s="49">
        <v>3091500</v>
      </c>
      <c r="AU326" s="49">
        <f>AT326+U326</f>
        <v>3091500</v>
      </c>
      <c r="AV326" s="49">
        <f>AK326</f>
        <v>0</v>
      </c>
      <c r="AW326" s="72">
        <f>AV326/AU326*100</f>
        <v>0</v>
      </c>
      <c r="AX326" s="49">
        <f>AU326-AV326</f>
        <v>3091500</v>
      </c>
      <c r="AY326" s="49">
        <f>AS326/AB326*100</f>
        <v>0.45454545454545453</v>
      </c>
      <c r="AZ326" s="73">
        <f t="shared" si="87"/>
        <v>0</v>
      </c>
    </row>
    <row r="327" spans="1:53" ht="20.100000000000001" customHeight="1">
      <c r="A327" s="68"/>
      <c r="B327" s="69"/>
      <c r="C327" s="240" t="s">
        <v>479</v>
      </c>
      <c r="D327" s="240"/>
      <c r="E327" s="241"/>
      <c r="F327" s="70"/>
      <c r="G327" s="71"/>
      <c r="H327" s="71"/>
      <c r="I327" s="240" t="s">
        <v>402</v>
      </c>
      <c r="J327" s="240"/>
      <c r="K327" s="241"/>
      <c r="L327" s="49"/>
      <c r="M327" s="49"/>
      <c r="N327" s="49"/>
      <c r="O327" s="49"/>
      <c r="P327" s="49"/>
      <c r="Q327" s="49"/>
      <c r="R327" s="72"/>
      <c r="S327" s="49"/>
      <c r="T327" s="49"/>
      <c r="U327" s="49"/>
      <c r="V327" s="49"/>
      <c r="W327" s="49"/>
      <c r="X327" s="49"/>
      <c r="Y327" s="49"/>
      <c r="Z327" s="49"/>
      <c r="AA327" s="49"/>
      <c r="AB327" s="49"/>
      <c r="AC327" s="49">
        <f t="shared" si="88"/>
        <v>0</v>
      </c>
      <c r="AD327" s="49"/>
      <c r="AE327" s="49"/>
      <c r="AF327" s="49"/>
      <c r="AG327" s="49"/>
      <c r="AH327" s="49"/>
      <c r="AI327" s="49"/>
      <c r="AJ327" s="49"/>
      <c r="AK327" s="49"/>
      <c r="AL327" s="49"/>
      <c r="AM327" s="49"/>
      <c r="AN327" s="49"/>
      <c r="AO327" s="49"/>
      <c r="AP327" s="49"/>
      <c r="AQ327" s="49"/>
      <c r="AR327" s="49"/>
      <c r="AS327" s="49"/>
      <c r="AT327" s="49"/>
      <c r="AU327" s="49"/>
      <c r="AV327" s="49"/>
      <c r="AW327" s="49"/>
      <c r="AX327" s="49"/>
      <c r="AY327" s="49"/>
      <c r="AZ327" s="73">
        <f t="shared" si="87"/>
        <v>0</v>
      </c>
    </row>
    <row r="328" spans="1:53" ht="20.100000000000001" customHeight="1">
      <c r="A328" s="68"/>
      <c r="B328" s="69"/>
      <c r="C328" s="240" t="s">
        <v>480</v>
      </c>
      <c r="D328" s="240"/>
      <c r="E328" s="241"/>
      <c r="F328" s="70"/>
      <c r="G328" s="71"/>
      <c r="H328" s="71"/>
      <c r="I328" s="71"/>
      <c r="J328" s="240" t="s">
        <v>404</v>
      </c>
      <c r="K328" s="241"/>
      <c r="L328" s="49">
        <v>8700000</v>
      </c>
      <c r="M328" s="49">
        <v>0</v>
      </c>
      <c r="N328" s="49"/>
      <c r="O328" s="49"/>
      <c r="P328" s="49"/>
      <c r="Q328" s="49">
        <f>SUM(N328:P328)</f>
        <v>0</v>
      </c>
      <c r="R328" s="72"/>
      <c r="S328" s="49">
        <f>M328-Q328</f>
        <v>0</v>
      </c>
      <c r="T328" s="49">
        <v>0</v>
      </c>
      <c r="U328" s="49">
        <f>T328+M328</f>
        <v>0</v>
      </c>
      <c r="V328" s="49">
        <f>T328+S328</f>
        <v>0</v>
      </c>
      <c r="W328" s="49"/>
      <c r="X328" s="49"/>
      <c r="Y328" s="49"/>
      <c r="Z328" s="49"/>
      <c r="AA328" s="49">
        <v>8700000</v>
      </c>
      <c r="AB328" s="49">
        <v>8700000</v>
      </c>
      <c r="AC328" s="49">
        <f t="shared" si="88"/>
        <v>0</v>
      </c>
      <c r="AD328" s="49">
        <f>AA328+T328+M328</f>
        <v>8700000</v>
      </c>
      <c r="AE328" s="49"/>
      <c r="AF328" s="49"/>
      <c r="AG328" s="49"/>
      <c r="AH328" s="49"/>
      <c r="AI328" s="49"/>
      <c r="AJ328" s="49"/>
      <c r="AK328" s="49">
        <f>Z328+Y328+X328+W328+N328+AG328+AJ328+AI328+AH328</f>
        <v>0</v>
      </c>
      <c r="AL328" s="49">
        <f>AK328/AD328*100</f>
        <v>0</v>
      </c>
      <c r="AM328" s="49"/>
      <c r="AN328" s="49"/>
      <c r="AO328" s="42">
        <v>5850000</v>
      </c>
      <c r="AP328" s="49"/>
      <c r="AQ328" s="49">
        <f>AK328+AM328+AN328+AO328+AP328</f>
        <v>5850000</v>
      </c>
      <c r="AR328" s="49">
        <f>AQ328/AB328*100</f>
        <v>67.241379310344826</v>
      </c>
      <c r="AS328" s="49">
        <f>AB328-AQ328</f>
        <v>2850000</v>
      </c>
      <c r="AT328" s="49">
        <v>3091500</v>
      </c>
      <c r="AU328" s="49">
        <f>AT328+U328</f>
        <v>3091500</v>
      </c>
      <c r="AV328" s="49">
        <f>AK328</f>
        <v>0</v>
      </c>
      <c r="AW328" s="72">
        <f>AV328/AU328*100</f>
        <v>0</v>
      </c>
      <c r="AX328" s="49">
        <f>AU328-AV328</f>
        <v>3091500</v>
      </c>
      <c r="AY328" s="49">
        <f>AS328/AB328*100</f>
        <v>32.758620689655174</v>
      </c>
      <c r="AZ328" s="73">
        <f t="shared" si="87"/>
        <v>0</v>
      </c>
    </row>
    <row r="329" spans="1:53" ht="20.100000000000001" customHeight="1">
      <c r="A329" s="62">
        <v>23</v>
      </c>
      <c r="B329" s="63"/>
      <c r="C329" s="242" t="s">
        <v>503</v>
      </c>
      <c r="D329" s="242"/>
      <c r="E329" s="243"/>
      <c r="F329" s="64"/>
      <c r="G329" s="244" t="s">
        <v>504</v>
      </c>
      <c r="H329" s="244"/>
      <c r="I329" s="244"/>
      <c r="J329" s="244"/>
      <c r="K329" s="245"/>
      <c r="L329" s="65">
        <f>SUM(L332:L350)</f>
        <v>297000000</v>
      </c>
      <c r="M329" s="65">
        <f>SUM(M332:M350)</f>
        <v>0</v>
      </c>
      <c r="N329" s="65">
        <f>SUM(N332:N350)</f>
        <v>0</v>
      </c>
      <c r="O329" s="65">
        <f>SUM(O332:O350)</f>
        <v>0</v>
      </c>
      <c r="P329" s="65">
        <f>SUM(P332:P350)</f>
        <v>0</v>
      </c>
      <c r="Q329" s="65">
        <f>SUM(N329:P329)</f>
        <v>0</v>
      </c>
      <c r="R329" s="66"/>
      <c r="S329" s="65">
        <f>M329-Q329</f>
        <v>0</v>
      </c>
      <c r="T329" s="65">
        <f>SUM(T332:T350)</f>
        <v>297000000</v>
      </c>
      <c r="U329" s="65">
        <f>T329+M329</f>
        <v>297000000</v>
      </c>
      <c r="V329" s="65">
        <f>T329+S329</f>
        <v>297000000</v>
      </c>
      <c r="W329" s="65">
        <f t="shared" ref="W329:AB329" si="90">SUM(W332:W350)</f>
        <v>0</v>
      </c>
      <c r="X329" s="65">
        <f t="shared" si="90"/>
        <v>0</v>
      </c>
      <c r="Y329" s="65">
        <f t="shared" si="90"/>
        <v>0</v>
      </c>
      <c r="Z329" s="65">
        <f t="shared" si="90"/>
        <v>158188000</v>
      </c>
      <c r="AA329" s="65">
        <f t="shared" si="90"/>
        <v>0</v>
      </c>
      <c r="AB329" s="65">
        <f t="shared" si="90"/>
        <v>297000000</v>
      </c>
      <c r="AC329" s="65">
        <f t="shared" si="88"/>
        <v>0</v>
      </c>
      <c r="AD329" s="65">
        <f>AA329+T329+M329</f>
        <v>297000000</v>
      </c>
      <c r="AE329" s="65">
        <f t="shared" ref="AE329:AK329" si="91">SUM(AE332:AE350)</f>
        <v>105028000</v>
      </c>
      <c r="AF329" s="65">
        <f t="shared" si="91"/>
        <v>0</v>
      </c>
      <c r="AG329" s="65">
        <f t="shared" si="91"/>
        <v>0</v>
      </c>
      <c r="AH329" s="65">
        <f t="shared" si="91"/>
        <v>0</v>
      </c>
      <c r="AI329" s="65">
        <f t="shared" si="91"/>
        <v>0</v>
      </c>
      <c r="AJ329" s="65">
        <f t="shared" si="91"/>
        <v>5300000</v>
      </c>
      <c r="AK329" s="65">
        <f t="shared" si="91"/>
        <v>268516000</v>
      </c>
      <c r="AL329" s="65">
        <f>AK329/AB329*100</f>
        <v>90.40942760942761</v>
      </c>
      <c r="AM329" s="65">
        <f>SUM(AM332:AM350)</f>
        <v>0</v>
      </c>
      <c r="AN329" s="65">
        <f>SUM(AN332:AN350)</f>
        <v>0</v>
      </c>
      <c r="AO329" s="65">
        <f>SUM(AO332:AO350)</f>
        <v>0</v>
      </c>
      <c r="AP329" s="65">
        <f>SUM(AP332:AP350)</f>
        <v>0</v>
      </c>
      <c r="AQ329" s="65">
        <f>AK329+AM329+AN329+AO329+AP329</f>
        <v>268516000</v>
      </c>
      <c r="AR329" s="65">
        <f>AQ329/AB329*100</f>
        <v>90.40942760942761</v>
      </c>
      <c r="AS329" s="65">
        <f>AB329-AQ329</f>
        <v>28484000</v>
      </c>
      <c r="AT329" s="65">
        <f>SUM(AT332:AT338)</f>
        <v>12366000</v>
      </c>
      <c r="AU329" s="65">
        <f>AT329+U329</f>
        <v>309366000</v>
      </c>
      <c r="AV329" s="65">
        <f>AK329</f>
        <v>268516000</v>
      </c>
      <c r="AW329" s="66">
        <f>AV329/AU329*100</f>
        <v>86.795575467245911</v>
      </c>
      <c r="AX329" s="65">
        <f>AU329-AV329</f>
        <v>40850000</v>
      </c>
      <c r="AY329" s="65">
        <f>AS329/AB329*100</f>
        <v>9.5905723905723903</v>
      </c>
      <c r="AZ329" s="67">
        <f t="shared" si="87"/>
        <v>268516000</v>
      </c>
      <c r="BA329" s="29">
        <f>AS329</f>
        <v>28484000</v>
      </c>
    </row>
    <row r="330" spans="1:53" ht="20.100000000000001" customHeight="1">
      <c r="A330" s="68"/>
      <c r="B330" s="69"/>
      <c r="C330" s="240" t="s">
        <v>505</v>
      </c>
      <c r="D330" s="240"/>
      <c r="E330" s="241"/>
      <c r="F330" s="70"/>
      <c r="G330" s="71"/>
      <c r="H330" s="240" t="s">
        <v>10</v>
      </c>
      <c r="I330" s="240"/>
      <c r="J330" s="240"/>
      <c r="K330" s="241"/>
      <c r="L330" s="49"/>
      <c r="M330" s="49"/>
      <c r="N330" s="49"/>
      <c r="O330" s="49"/>
      <c r="P330" s="49"/>
      <c r="Q330" s="49"/>
      <c r="R330" s="72"/>
      <c r="S330" s="49"/>
      <c r="T330" s="49"/>
      <c r="U330" s="49"/>
      <c r="V330" s="49"/>
      <c r="W330" s="49"/>
      <c r="X330" s="49"/>
      <c r="Y330" s="49"/>
      <c r="Z330" s="49"/>
      <c r="AA330" s="49"/>
      <c r="AB330" s="49"/>
      <c r="AC330" s="49">
        <f t="shared" si="88"/>
        <v>0</v>
      </c>
      <c r="AD330" s="49"/>
      <c r="AE330" s="49"/>
      <c r="AF330" s="49"/>
      <c r="AG330" s="49"/>
      <c r="AH330" s="49"/>
      <c r="AI330" s="49"/>
      <c r="AJ330" s="49"/>
      <c r="AK330" s="49"/>
      <c r="AL330" s="49"/>
      <c r="AM330" s="49"/>
      <c r="AN330" s="49"/>
      <c r="AO330" s="49"/>
      <c r="AP330" s="49"/>
      <c r="AQ330" s="49"/>
      <c r="AR330" s="49"/>
      <c r="AS330" s="49"/>
      <c r="AT330" s="49"/>
      <c r="AU330" s="49"/>
      <c r="AV330" s="49"/>
      <c r="AW330" s="49"/>
      <c r="AX330" s="49"/>
      <c r="AY330" s="49"/>
      <c r="AZ330" s="73">
        <f t="shared" si="87"/>
        <v>0</v>
      </c>
    </row>
    <row r="331" spans="1:53" ht="20.100000000000001" customHeight="1">
      <c r="A331" s="68"/>
      <c r="B331" s="69"/>
      <c r="C331" s="240" t="s">
        <v>506</v>
      </c>
      <c r="D331" s="240"/>
      <c r="E331" s="241"/>
      <c r="F331" s="70"/>
      <c r="G331" s="71"/>
      <c r="H331" s="71"/>
      <c r="I331" s="240" t="s">
        <v>177</v>
      </c>
      <c r="J331" s="240"/>
      <c r="K331" s="241"/>
      <c r="L331" s="49"/>
      <c r="M331" s="49"/>
      <c r="N331" s="49"/>
      <c r="O331" s="49"/>
      <c r="P331" s="49"/>
      <c r="Q331" s="49"/>
      <c r="R331" s="72"/>
      <c r="S331" s="49"/>
      <c r="T331" s="49"/>
      <c r="U331" s="49"/>
      <c r="V331" s="49"/>
      <c r="W331" s="49"/>
      <c r="X331" s="49"/>
      <c r="Y331" s="49"/>
      <c r="Z331" s="49"/>
      <c r="AA331" s="49"/>
      <c r="AB331" s="49"/>
      <c r="AC331" s="49">
        <f t="shared" si="88"/>
        <v>0</v>
      </c>
      <c r="AD331" s="49"/>
      <c r="AE331" s="49"/>
      <c r="AF331" s="49"/>
      <c r="AG331" s="49"/>
      <c r="AH331" s="49"/>
      <c r="AI331" s="49"/>
      <c r="AJ331" s="49"/>
      <c r="AK331" s="49"/>
      <c r="AL331" s="49"/>
      <c r="AM331" s="49"/>
      <c r="AN331" s="49"/>
      <c r="AO331" s="49"/>
      <c r="AP331" s="49"/>
      <c r="AQ331" s="49"/>
      <c r="AR331" s="49"/>
      <c r="AS331" s="49"/>
      <c r="AT331" s="49"/>
      <c r="AU331" s="49"/>
      <c r="AV331" s="49"/>
      <c r="AW331" s="49"/>
      <c r="AX331" s="49"/>
      <c r="AY331" s="49"/>
      <c r="AZ331" s="73">
        <f t="shared" si="87"/>
        <v>0</v>
      </c>
    </row>
    <row r="332" spans="1:53" ht="20.100000000000001" customHeight="1">
      <c r="A332" s="68"/>
      <c r="B332" s="69"/>
      <c r="C332" s="240" t="s">
        <v>507</v>
      </c>
      <c r="D332" s="240"/>
      <c r="E332" s="241"/>
      <c r="F332" s="70"/>
      <c r="G332" s="71"/>
      <c r="H332" s="71"/>
      <c r="I332" s="71"/>
      <c r="J332" s="240" t="s">
        <v>283</v>
      </c>
      <c r="K332" s="241"/>
      <c r="L332" s="49">
        <v>13250000</v>
      </c>
      <c r="M332" s="49">
        <v>0</v>
      </c>
      <c r="N332" s="49"/>
      <c r="O332" s="49"/>
      <c r="P332" s="49"/>
      <c r="Q332" s="49">
        <f>SUM(N332:P332)</f>
        <v>0</v>
      </c>
      <c r="R332" s="72"/>
      <c r="S332" s="49">
        <f>M332-Q332</f>
        <v>0</v>
      </c>
      <c r="T332" s="49">
        <v>13250000</v>
      </c>
      <c r="U332" s="49">
        <f>T332+M332</f>
        <v>13250000</v>
      </c>
      <c r="V332" s="49">
        <f>T332+S332</f>
        <v>13250000</v>
      </c>
      <c r="W332" s="49"/>
      <c r="X332" s="49"/>
      <c r="Y332" s="49"/>
      <c r="Z332" s="49">
        <v>2650000</v>
      </c>
      <c r="AA332" s="49">
        <v>0</v>
      </c>
      <c r="AB332" s="49">
        <v>13250000</v>
      </c>
      <c r="AC332" s="49">
        <f t="shared" si="88"/>
        <v>0</v>
      </c>
      <c r="AD332" s="49">
        <f>AA332+T332+M332</f>
        <v>13250000</v>
      </c>
      <c r="AE332" s="49"/>
      <c r="AF332" s="49"/>
      <c r="AG332" s="49"/>
      <c r="AH332" s="49"/>
      <c r="AI332" s="49"/>
      <c r="AJ332" s="49">
        <v>5300000</v>
      </c>
      <c r="AK332" s="49">
        <f>Z332+Y332+X332+W332+N332+AG332+AJ332+AI332+AH332</f>
        <v>7950000</v>
      </c>
      <c r="AL332" s="49">
        <f>AK332/AD332*100</f>
        <v>60</v>
      </c>
      <c r="AM332" s="49"/>
      <c r="AN332" s="49"/>
      <c r="AO332" s="49"/>
      <c r="AP332" s="49"/>
      <c r="AQ332" s="49">
        <f>AK332+AM332+AN332+AO332+AP332</f>
        <v>7950000</v>
      </c>
      <c r="AR332" s="49">
        <f>AQ332/AB332*100</f>
        <v>60</v>
      </c>
      <c r="AS332" s="49">
        <f>AB332-AQ332</f>
        <v>5300000</v>
      </c>
      <c r="AT332" s="49">
        <v>3091500</v>
      </c>
      <c r="AU332" s="49">
        <f>AT332+U332</f>
        <v>16341500</v>
      </c>
      <c r="AV332" s="49">
        <f>AK332</f>
        <v>7950000</v>
      </c>
      <c r="AW332" s="72">
        <f>AV332/AU332*100</f>
        <v>48.649144815347427</v>
      </c>
      <c r="AX332" s="49">
        <f>AU332-AV332</f>
        <v>8391500</v>
      </c>
      <c r="AY332" s="49">
        <f>AS332/AB332*100</f>
        <v>40</v>
      </c>
      <c r="AZ332" s="73">
        <f t="shared" si="87"/>
        <v>7950000</v>
      </c>
    </row>
    <row r="333" spans="1:53" ht="20.100000000000001" customHeight="1">
      <c r="A333" s="68"/>
      <c r="B333" s="69"/>
      <c r="C333" s="240" t="s">
        <v>508</v>
      </c>
      <c r="D333" s="240"/>
      <c r="E333" s="241"/>
      <c r="F333" s="70"/>
      <c r="G333" s="71"/>
      <c r="H333" s="71"/>
      <c r="I333" s="71"/>
      <c r="J333" s="240" t="s">
        <v>384</v>
      </c>
      <c r="K333" s="241"/>
      <c r="L333" s="49">
        <v>2000000</v>
      </c>
      <c r="M333" s="49">
        <v>0</v>
      </c>
      <c r="N333" s="49"/>
      <c r="O333" s="49"/>
      <c r="P333" s="49"/>
      <c r="Q333" s="49">
        <f>SUM(N333:P333)</f>
        <v>0</v>
      </c>
      <c r="R333" s="72"/>
      <c r="S333" s="49">
        <f>M333-Q333</f>
        <v>0</v>
      </c>
      <c r="T333" s="49">
        <v>2000000</v>
      </c>
      <c r="U333" s="49">
        <f>T333+M333</f>
        <v>2000000</v>
      </c>
      <c r="V333" s="49">
        <f>T333+S333</f>
        <v>2000000</v>
      </c>
      <c r="W333" s="49"/>
      <c r="X333" s="49"/>
      <c r="Y333" s="49"/>
      <c r="Z333" s="49">
        <v>2000000</v>
      </c>
      <c r="AA333" s="49">
        <v>0</v>
      </c>
      <c r="AB333" s="49">
        <v>2000000</v>
      </c>
      <c r="AC333" s="49">
        <f t="shared" si="88"/>
        <v>0</v>
      </c>
      <c r="AD333" s="49">
        <f>AA333+T333+M333</f>
        <v>2000000</v>
      </c>
      <c r="AE333" s="49"/>
      <c r="AF333" s="49"/>
      <c r="AG333" s="49"/>
      <c r="AH333" s="49"/>
      <c r="AI333" s="49"/>
      <c r="AJ333" s="49"/>
      <c r="AK333" s="49">
        <f>Z333+Y333+X333+W333+N333+AG333+AJ333+AI333+AH333</f>
        <v>2000000</v>
      </c>
      <c r="AL333" s="49">
        <f>AK333/AD333*100</f>
        <v>100</v>
      </c>
      <c r="AM333" s="49"/>
      <c r="AN333" s="49"/>
      <c r="AO333" s="49"/>
      <c r="AP333" s="49"/>
      <c r="AQ333" s="49">
        <f>AK333+AM333+AN333+AO333+AP333</f>
        <v>2000000</v>
      </c>
      <c r="AR333" s="49">
        <f>AQ333/AB333*100</f>
        <v>100</v>
      </c>
      <c r="AS333" s="49">
        <f>AB333-AQ333</f>
        <v>0</v>
      </c>
      <c r="AT333" s="49">
        <v>3091500</v>
      </c>
      <c r="AU333" s="49">
        <f>AT333+U333</f>
        <v>5091500</v>
      </c>
      <c r="AV333" s="49">
        <f>AK333</f>
        <v>2000000</v>
      </c>
      <c r="AW333" s="72">
        <f>AV333/AU333*100</f>
        <v>39.281154865953063</v>
      </c>
      <c r="AX333" s="49">
        <f>AU333-AV333</f>
        <v>3091500</v>
      </c>
      <c r="AY333" s="49">
        <f>AS333/AB333*100</f>
        <v>0</v>
      </c>
      <c r="AZ333" s="73">
        <f t="shared" si="87"/>
        <v>2000000</v>
      </c>
    </row>
    <row r="334" spans="1:53" ht="20.100000000000001" customHeight="1">
      <c r="A334" s="68"/>
      <c r="B334" s="69"/>
      <c r="C334" s="240" t="s">
        <v>509</v>
      </c>
      <c r="D334" s="240"/>
      <c r="E334" s="241"/>
      <c r="F334" s="70"/>
      <c r="G334" s="71"/>
      <c r="H334" s="240" t="s">
        <v>143</v>
      </c>
      <c r="I334" s="240"/>
      <c r="J334" s="240"/>
      <c r="K334" s="241"/>
      <c r="L334" s="49"/>
      <c r="M334" s="49"/>
      <c r="N334" s="49"/>
      <c r="O334" s="49"/>
      <c r="P334" s="49"/>
      <c r="Q334" s="49"/>
      <c r="R334" s="72"/>
      <c r="S334" s="49"/>
      <c r="T334" s="49"/>
      <c r="U334" s="49"/>
      <c r="V334" s="49"/>
      <c r="W334" s="49"/>
      <c r="X334" s="49"/>
      <c r="Y334" s="49"/>
      <c r="Z334" s="49"/>
      <c r="AA334" s="49"/>
      <c r="AB334" s="49"/>
      <c r="AC334" s="49">
        <f t="shared" si="88"/>
        <v>0</v>
      </c>
      <c r="AD334" s="49"/>
      <c r="AE334" s="49"/>
      <c r="AF334" s="49"/>
      <c r="AG334" s="49"/>
      <c r="AH334" s="49"/>
      <c r="AI334" s="49"/>
      <c r="AJ334" s="49"/>
      <c r="AK334" s="49"/>
      <c r="AL334" s="49"/>
      <c r="AM334" s="49"/>
      <c r="AN334" s="49"/>
      <c r="AO334" s="49"/>
      <c r="AP334" s="49"/>
      <c r="AQ334" s="49"/>
      <c r="AR334" s="49"/>
      <c r="AS334" s="49"/>
      <c r="AT334" s="49"/>
      <c r="AU334" s="49"/>
      <c r="AV334" s="49"/>
      <c r="AW334" s="49"/>
      <c r="AX334" s="49"/>
      <c r="AY334" s="49"/>
      <c r="AZ334" s="73">
        <f t="shared" si="87"/>
        <v>0</v>
      </c>
    </row>
    <row r="335" spans="1:53" ht="20.100000000000001" customHeight="1">
      <c r="A335" s="68"/>
      <c r="B335" s="69"/>
      <c r="C335" s="240" t="s">
        <v>510</v>
      </c>
      <c r="D335" s="240"/>
      <c r="E335" s="241"/>
      <c r="F335" s="70"/>
      <c r="G335" s="71"/>
      <c r="H335" s="71"/>
      <c r="I335" s="240" t="s">
        <v>145</v>
      </c>
      <c r="J335" s="240"/>
      <c r="K335" s="241"/>
      <c r="L335" s="49"/>
      <c r="M335" s="49"/>
      <c r="N335" s="49"/>
      <c r="O335" s="49"/>
      <c r="P335" s="49"/>
      <c r="Q335" s="49"/>
      <c r="R335" s="72"/>
      <c r="S335" s="49"/>
      <c r="T335" s="49"/>
      <c r="U335" s="49"/>
      <c r="V335" s="49"/>
      <c r="W335" s="49"/>
      <c r="X335" s="49"/>
      <c r="Y335" s="49"/>
      <c r="Z335" s="49"/>
      <c r="AA335" s="49"/>
      <c r="AB335" s="49"/>
      <c r="AC335" s="49">
        <f t="shared" si="88"/>
        <v>0</v>
      </c>
      <c r="AD335" s="49"/>
      <c r="AE335" s="49"/>
      <c r="AF335" s="49"/>
      <c r="AG335" s="49"/>
      <c r="AH335" s="49"/>
      <c r="AI335" s="49"/>
      <c r="AJ335" s="49"/>
      <c r="AK335" s="49"/>
      <c r="AL335" s="49"/>
      <c r="AM335" s="49"/>
      <c r="AN335" s="49"/>
      <c r="AO335" s="49"/>
      <c r="AP335" s="49"/>
      <c r="AQ335" s="49"/>
      <c r="AR335" s="49"/>
      <c r="AS335" s="49"/>
      <c r="AT335" s="49"/>
      <c r="AU335" s="49"/>
      <c r="AV335" s="49"/>
      <c r="AW335" s="49"/>
      <c r="AX335" s="49"/>
      <c r="AY335" s="49"/>
      <c r="AZ335" s="73">
        <f t="shared" si="87"/>
        <v>0</v>
      </c>
    </row>
    <row r="336" spans="1:53" ht="20.100000000000001" customHeight="1">
      <c r="A336" s="68"/>
      <c r="B336" s="69"/>
      <c r="C336" s="240" t="s">
        <v>511</v>
      </c>
      <c r="D336" s="240"/>
      <c r="E336" s="241"/>
      <c r="F336" s="70"/>
      <c r="G336" s="71"/>
      <c r="H336" s="71"/>
      <c r="I336" s="71"/>
      <c r="J336" s="240" t="s">
        <v>147</v>
      </c>
      <c r="K336" s="241"/>
      <c r="L336" s="49">
        <v>7383000</v>
      </c>
      <c r="M336" s="49">
        <v>0</v>
      </c>
      <c r="N336" s="49"/>
      <c r="O336" s="49"/>
      <c r="P336" s="49"/>
      <c r="Q336" s="49">
        <f>SUM(N336:P336)</f>
        <v>0</v>
      </c>
      <c r="R336" s="72"/>
      <c r="S336" s="49">
        <f>M336-Q336</f>
        <v>0</v>
      </c>
      <c r="T336" s="49">
        <v>7383000</v>
      </c>
      <c r="U336" s="49">
        <f>T336+M336</f>
        <v>7383000</v>
      </c>
      <c r="V336" s="49">
        <f>T336+S336</f>
        <v>7383000</v>
      </c>
      <c r="W336" s="49"/>
      <c r="X336" s="49"/>
      <c r="Y336" s="49"/>
      <c r="Z336" s="49">
        <v>7372000</v>
      </c>
      <c r="AA336" s="49">
        <v>0</v>
      </c>
      <c r="AB336" s="49">
        <v>7383000</v>
      </c>
      <c r="AC336" s="49">
        <f t="shared" si="88"/>
        <v>0</v>
      </c>
      <c r="AD336" s="49">
        <f>AA336+T336+M336</f>
        <v>7383000</v>
      </c>
      <c r="AE336" s="49"/>
      <c r="AF336" s="49"/>
      <c r="AG336" s="49"/>
      <c r="AH336" s="49"/>
      <c r="AI336" s="49"/>
      <c r="AJ336" s="49"/>
      <c r="AK336" s="49">
        <f>Z336+Y336+X336+W336+N336+AG336+AJ336+AI336+AH336</f>
        <v>7372000</v>
      </c>
      <c r="AL336" s="49">
        <f>AK336/AD336*100</f>
        <v>99.851009074901796</v>
      </c>
      <c r="AM336" s="49"/>
      <c r="AN336" s="49"/>
      <c r="AO336" s="49"/>
      <c r="AP336" s="49"/>
      <c r="AQ336" s="49">
        <f>AK336+AM336+AN336+AO336+AP336</f>
        <v>7372000</v>
      </c>
      <c r="AR336" s="49">
        <f>AQ336/AB336*100</f>
        <v>99.851009074901796</v>
      </c>
      <c r="AS336" s="49">
        <f>AB336-AQ336</f>
        <v>11000</v>
      </c>
      <c r="AT336" s="49">
        <v>3091500</v>
      </c>
      <c r="AU336" s="49">
        <f>AT336+U336</f>
        <v>10474500</v>
      </c>
      <c r="AV336" s="49">
        <f>AK336</f>
        <v>7372000</v>
      </c>
      <c r="AW336" s="72">
        <f>AV336/AU336*100</f>
        <v>70.380447754069408</v>
      </c>
      <c r="AX336" s="49">
        <f>AU336-AV336</f>
        <v>3102500</v>
      </c>
      <c r="AY336" s="49">
        <f>AS336/AB336*100</f>
        <v>0.14899092509819856</v>
      </c>
      <c r="AZ336" s="73">
        <f t="shared" si="87"/>
        <v>7372000</v>
      </c>
    </row>
    <row r="337" spans="1:54" ht="20.100000000000001" customHeight="1">
      <c r="A337" s="68"/>
      <c r="B337" s="69"/>
      <c r="C337" s="240" t="s">
        <v>512</v>
      </c>
      <c r="D337" s="240"/>
      <c r="E337" s="241"/>
      <c r="F337" s="70"/>
      <c r="G337" s="71"/>
      <c r="H337" s="71"/>
      <c r="I337" s="240" t="s">
        <v>389</v>
      </c>
      <c r="J337" s="240"/>
      <c r="K337" s="241"/>
      <c r="L337" s="49"/>
      <c r="M337" s="49"/>
      <c r="N337" s="49"/>
      <c r="O337" s="49"/>
      <c r="P337" s="49"/>
      <c r="Q337" s="49"/>
      <c r="R337" s="72"/>
      <c r="S337" s="49"/>
      <c r="T337" s="49"/>
      <c r="U337" s="49"/>
      <c r="V337" s="49"/>
      <c r="W337" s="49"/>
      <c r="X337" s="49"/>
      <c r="Y337" s="49"/>
      <c r="Z337" s="49"/>
      <c r="AA337" s="49"/>
      <c r="AB337" s="49"/>
      <c r="AC337" s="49">
        <f t="shared" si="88"/>
        <v>0</v>
      </c>
      <c r="AD337" s="49"/>
      <c r="AE337" s="49"/>
      <c r="AF337" s="49"/>
      <c r="AG337" s="49"/>
      <c r="AH337" s="49"/>
      <c r="AI337" s="49"/>
      <c r="AJ337" s="49"/>
      <c r="AK337" s="49"/>
      <c r="AL337" s="49"/>
      <c r="AM337" s="49"/>
      <c r="AN337" s="49"/>
      <c r="AO337" s="49"/>
      <c r="AP337" s="49"/>
      <c r="AQ337" s="49"/>
      <c r="AR337" s="49"/>
      <c r="AS337" s="49"/>
      <c r="AT337" s="49"/>
      <c r="AU337" s="49"/>
      <c r="AV337" s="49"/>
      <c r="AW337" s="49"/>
      <c r="AX337" s="49"/>
      <c r="AY337" s="49"/>
      <c r="AZ337" s="73">
        <f t="shared" si="87"/>
        <v>0</v>
      </c>
    </row>
    <row r="338" spans="1:54" ht="20.100000000000001" customHeight="1">
      <c r="A338" s="68"/>
      <c r="B338" s="69"/>
      <c r="C338" s="240" t="s">
        <v>513</v>
      </c>
      <c r="D338" s="240"/>
      <c r="E338" s="241"/>
      <c r="F338" s="70"/>
      <c r="G338" s="71"/>
      <c r="H338" s="71"/>
      <c r="I338" s="71"/>
      <c r="J338" s="240" t="s">
        <v>391</v>
      </c>
      <c r="K338" s="241"/>
      <c r="L338" s="49">
        <v>143840000</v>
      </c>
      <c r="M338" s="49">
        <v>0</v>
      </c>
      <c r="N338" s="49"/>
      <c r="O338" s="49"/>
      <c r="P338" s="49"/>
      <c r="Q338" s="49">
        <f>SUM(N338:P338)</f>
        <v>0</v>
      </c>
      <c r="R338" s="72"/>
      <c r="S338" s="49">
        <f>M338-Q338</f>
        <v>0</v>
      </c>
      <c r="T338" s="49">
        <v>143840000</v>
      </c>
      <c r="U338" s="49">
        <f>T338+M338</f>
        <v>143840000</v>
      </c>
      <c r="V338" s="49">
        <f>T338+S338</f>
        <v>143840000</v>
      </c>
      <c r="W338" s="49"/>
      <c r="X338" s="49"/>
      <c r="Y338" s="49"/>
      <c r="Z338" s="49">
        <v>30040000</v>
      </c>
      <c r="AA338" s="49">
        <v>0</v>
      </c>
      <c r="AB338" s="49">
        <v>143840000</v>
      </c>
      <c r="AC338" s="49">
        <f t="shared" si="88"/>
        <v>0</v>
      </c>
      <c r="AD338" s="49">
        <f>AA338+T338+M338</f>
        <v>143840000</v>
      </c>
      <c r="AE338" s="49">
        <v>105028000</v>
      </c>
      <c r="AF338" s="49">
        <v>0</v>
      </c>
      <c r="AG338" s="49"/>
      <c r="AH338" s="49"/>
      <c r="AI338" s="49"/>
      <c r="AJ338" s="49"/>
      <c r="AK338" s="49">
        <f>Z338+Y338+X338+W338+N338+AG338+AJ338+AI338+AH338+105028000</f>
        <v>135068000</v>
      </c>
      <c r="AL338" s="49">
        <f>AK338/AD338*100</f>
        <v>93.901557285873196</v>
      </c>
      <c r="AM338" s="49"/>
      <c r="AN338" s="49"/>
      <c r="AO338" s="49"/>
      <c r="AP338" s="49"/>
      <c r="AQ338" s="49">
        <f>AK338+AM338+AN338+AO338+AP338</f>
        <v>135068000</v>
      </c>
      <c r="AR338" s="49">
        <f>AQ338/AB338*100</f>
        <v>93.901557285873196</v>
      </c>
      <c r="AS338" s="49">
        <f>AB338-AQ338</f>
        <v>8772000</v>
      </c>
      <c r="AT338" s="49">
        <v>3091500</v>
      </c>
      <c r="AU338" s="49">
        <f>AT338+U338</f>
        <v>146931500</v>
      </c>
      <c r="AV338" s="49">
        <f>AK338</f>
        <v>135068000</v>
      </c>
      <c r="AW338" s="72">
        <f>AV338/AU338*100</f>
        <v>91.925829383079872</v>
      </c>
      <c r="AX338" s="49">
        <f>AU338-AV338</f>
        <v>11863500</v>
      </c>
      <c r="AY338" s="49">
        <f>AS338/AB338*100</f>
        <v>6.0984427141268078</v>
      </c>
      <c r="AZ338" s="73">
        <f t="shared" si="87"/>
        <v>135068000</v>
      </c>
    </row>
    <row r="339" spans="1:54" ht="20.100000000000001" customHeight="1">
      <c r="A339" s="68"/>
      <c r="B339" s="69"/>
      <c r="C339" s="240" t="s">
        <v>514</v>
      </c>
      <c r="D339" s="240"/>
      <c r="E339" s="241"/>
      <c r="F339" s="70"/>
      <c r="G339" s="71"/>
      <c r="H339" s="71"/>
      <c r="I339" s="240" t="s">
        <v>163</v>
      </c>
      <c r="J339" s="240"/>
      <c r="K339" s="241"/>
      <c r="L339" s="49"/>
      <c r="M339" s="49"/>
      <c r="N339" s="49"/>
      <c r="O339" s="49"/>
      <c r="P339" s="49"/>
      <c r="Q339" s="49"/>
      <c r="R339" s="72"/>
      <c r="S339" s="49"/>
      <c r="T339" s="49"/>
      <c r="U339" s="49"/>
      <c r="V339" s="49"/>
      <c r="W339" s="49"/>
      <c r="X339" s="49"/>
      <c r="Y339" s="49"/>
      <c r="Z339" s="49"/>
      <c r="AA339" s="49"/>
      <c r="AB339" s="49"/>
      <c r="AC339" s="49">
        <f t="shared" si="88"/>
        <v>0</v>
      </c>
      <c r="AD339" s="49"/>
      <c r="AE339" s="49"/>
      <c r="AF339" s="49"/>
      <c r="AG339" s="49"/>
      <c r="AH339" s="49"/>
      <c r="AI339" s="49"/>
      <c r="AJ339" s="49"/>
      <c r="AK339" s="49"/>
      <c r="AL339" s="49"/>
      <c r="AM339" s="49"/>
      <c r="AN339" s="49"/>
      <c r="AO339" s="49"/>
      <c r="AP339" s="49"/>
      <c r="AQ339" s="49"/>
      <c r="AR339" s="49"/>
      <c r="AS339" s="49"/>
      <c r="AT339" s="49"/>
      <c r="AU339" s="49"/>
      <c r="AV339" s="49"/>
      <c r="AW339" s="49"/>
      <c r="AX339" s="49"/>
      <c r="AY339" s="49"/>
      <c r="AZ339" s="73">
        <f t="shared" si="87"/>
        <v>0</v>
      </c>
    </row>
    <row r="340" spans="1:54" ht="20.100000000000001" customHeight="1">
      <c r="A340" s="68"/>
      <c r="B340" s="69"/>
      <c r="C340" s="240" t="s">
        <v>515</v>
      </c>
      <c r="D340" s="240"/>
      <c r="E340" s="241"/>
      <c r="F340" s="70"/>
      <c r="G340" s="71"/>
      <c r="H340" s="71"/>
      <c r="I340" s="71"/>
      <c r="J340" s="240" t="s">
        <v>352</v>
      </c>
      <c r="K340" s="241"/>
      <c r="L340" s="49">
        <v>50000000</v>
      </c>
      <c r="M340" s="49">
        <v>0</v>
      </c>
      <c r="N340" s="49"/>
      <c r="O340" s="49"/>
      <c r="P340" s="49"/>
      <c r="Q340" s="49">
        <f>SUM(N340:P340)</f>
        <v>0</v>
      </c>
      <c r="R340" s="72"/>
      <c r="S340" s="49">
        <f>M340-Q340</f>
        <v>0</v>
      </c>
      <c r="T340" s="49">
        <v>50000000</v>
      </c>
      <c r="U340" s="49">
        <f>T340+M340</f>
        <v>50000000</v>
      </c>
      <c r="V340" s="49">
        <f>T340+S340</f>
        <v>50000000</v>
      </c>
      <c r="W340" s="49"/>
      <c r="X340" s="49"/>
      <c r="Y340" s="49"/>
      <c r="Z340" s="49">
        <v>50000000</v>
      </c>
      <c r="AA340" s="49">
        <v>0</v>
      </c>
      <c r="AB340" s="49">
        <v>50000000</v>
      </c>
      <c r="AC340" s="49">
        <f t="shared" si="88"/>
        <v>0</v>
      </c>
      <c r="AD340" s="49">
        <f>AA340+T340+M340</f>
        <v>50000000</v>
      </c>
      <c r="AE340" s="49"/>
      <c r="AF340" s="49"/>
      <c r="AG340" s="49"/>
      <c r="AH340" s="49"/>
      <c r="AI340" s="49"/>
      <c r="AJ340" s="49"/>
      <c r="AK340" s="49">
        <f>Z340+Y340+X340+W340+N340+AG340+AJ340+AI340+AH340</f>
        <v>50000000</v>
      </c>
      <c r="AL340" s="49">
        <f>AK340/AD340*100</f>
        <v>100</v>
      </c>
      <c r="AM340" s="49"/>
      <c r="AN340" s="49"/>
      <c r="AO340" s="49"/>
      <c r="AP340" s="49"/>
      <c r="AQ340" s="49">
        <f>AK340+AM340+AN340+AO340+AP340</f>
        <v>50000000</v>
      </c>
      <c r="AR340" s="49">
        <f>AQ340/AB340*100</f>
        <v>100</v>
      </c>
      <c r="AS340" s="49">
        <f>AB340-AQ340</f>
        <v>0</v>
      </c>
      <c r="AT340" s="49">
        <v>3091500</v>
      </c>
      <c r="AU340" s="49">
        <f>AT340+U340</f>
        <v>53091500</v>
      </c>
      <c r="AV340" s="49">
        <f>AK340</f>
        <v>50000000</v>
      </c>
      <c r="AW340" s="72">
        <f>AV340/AU340*100</f>
        <v>94.177033988491559</v>
      </c>
      <c r="AX340" s="49">
        <f>AU340-AV340</f>
        <v>3091500</v>
      </c>
      <c r="AY340" s="49">
        <f>AS340/AB340*100</f>
        <v>0</v>
      </c>
      <c r="AZ340" s="73">
        <f t="shared" si="87"/>
        <v>50000000</v>
      </c>
    </row>
    <row r="341" spans="1:54" ht="20.100000000000001" customHeight="1">
      <c r="A341" s="68"/>
      <c r="B341" s="69"/>
      <c r="C341" s="240" t="s">
        <v>516</v>
      </c>
      <c r="D341" s="240"/>
      <c r="E341" s="241"/>
      <c r="F341" s="70"/>
      <c r="G341" s="71"/>
      <c r="H341" s="71"/>
      <c r="I341" s="240" t="s">
        <v>151</v>
      </c>
      <c r="J341" s="240"/>
      <c r="K341" s="241"/>
      <c r="L341" s="49"/>
      <c r="M341" s="49"/>
      <c r="N341" s="49"/>
      <c r="O341" s="49"/>
      <c r="P341" s="49"/>
      <c r="Q341" s="49"/>
      <c r="R341" s="72"/>
      <c r="S341" s="49"/>
      <c r="T341" s="49"/>
      <c r="U341" s="49"/>
      <c r="V341" s="49"/>
      <c r="W341" s="49"/>
      <c r="X341" s="49"/>
      <c r="Y341" s="49"/>
      <c r="Z341" s="49"/>
      <c r="AA341" s="49"/>
      <c r="AB341" s="49"/>
      <c r="AC341" s="49">
        <f t="shared" si="88"/>
        <v>0</v>
      </c>
      <c r="AD341" s="49"/>
      <c r="AE341" s="49"/>
      <c r="AF341" s="49"/>
      <c r="AG341" s="49"/>
      <c r="AH341" s="49"/>
      <c r="AI341" s="49"/>
      <c r="AJ341" s="49"/>
      <c r="AK341" s="49"/>
      <c r="AL341" s="49"/>
      <c r="AM341" s="49"/>
      <c r="AN341" s="49"/>
      <c r="AO341" s="49"/>
      <c r="AP341" s="49"/>
      <c r="AQ341" s="49"/>
      <c r="AR341" s="49"/>
      <c r="AS341" s="49"/>
      <c r="AT341" s="49"/>
      <c r="AU341" s="49"/>
      <c r="AV341" s="49"/>
      <c r="AW341" s="49"/>
      <c r="AX341" s="49"/>
      <c r="AY341" s="49"/>
      <c r="AZ341" s="73">
        <f t="shared" si="87"/>
        <v>0</v>
      </c>
    </row>
    <row r="342" spans="1:54" ht="20.100000000000001" customHeight="1">
      <c r="A342" s="68"/>
      <c r="B342" s="69"/>
      <c r="C342" s="240" t="s">
        <v>517</v>
      </c>
      <c r="D342" s="240"/>
      <c r="E342" s="241"/>
      <c r="F342" s="70"/>
      <c r="G342" s="71"/>
      <c r="H342" s="71"/>
      <c r="I342" s="71"/>
      <c r="J342" s="240" t="s">
        <v>153</v>
      </c>
      <c r="K342" s="241"/>
      <c r="L342" s="49">
        <v>1600000</v>
      </c>
      <c r="M342" s="49">
        <v>0</v>
      </c>
      <c r="N342" s="49"/>
      <c r="O342" s="49"/>
      <c r="P342" s="49"/>
      <c r="Q342" s="49">
        <f>SUM(N342:P342)</f>
        <v>0</v>
      </c>
      <c r="R342" s="72"/>
      <c r="S342" s="49">
        <f>M342-Q342</f>
        <v>0</v>
      </c>
      <c r="T342" s="49">
        <v>1600000</v>
      </c>
      <c r="U342" s="49">
        <f>T342+M342</f>
        <v>1600000</v>
      </c>
      <c r="V342" s="49">
        <f>T342+S342</f>
        <v>1600000</v>
      </c>
      <c r="W342" s="49"/>
      <c r="X342" s="49"/>
      <c r="Y342" s="49"/>
      <c r="Z342" s="49">
        <v>1600000</v>
      </c>
      <c r="AA342" s="49">
        <v>0</v>
      </c>
      <c r="AB342" s="49">
        <v>1600000</v>
      </c>
      <c r="AC342" s="49">
        <f t="shared" si="88"/>
        <v>0</v>
      </c>
      <c r="AD342" s="49">
        <f>AA342+T342+M342</f>
        <v>1600000</v>
      </c>
      <c r="AE342" s="49"/>
      <c r="AF342" s="49"/>
      <c r="AG342" s="49"/>
      <c r="AH342" s="49"/>
      <c r="AI342" s="49"/>
      <c r="AJ342" s="49"/>
      <c r="AK342" s="49">
        <f>Z342+Y342+X342+W342+N342+AG342+AJ342+AI342+AH342</f>
        <v>1600000</v>
      </c>
      <c r="AL342" s="49">
        <f>AK342/AD342*100</f>
        <v>100</v>
      </c>
      <c r="AM342" s="49"/>
      <c r="AN342" s="49"/>
      <c r="AO342" s="49"/>
      <c r="AP342" s="49"/>
      <c r="AQ342" s="49">
        <f>AK342+AM342+AN342+AO342+AP342</f>
        <v>1600000</v>
      </c>
      <c r="AR342" s="49">
        <f>AQ342/AB342*100</f>
        <v>100</v>
      </c>
      <c r="AS342" s="49">
        <f>AB342-AQ342</f>
        <v>0</v>
      </c>
      <c r="AT342" s="49">
        <v>3091500</v>
      </c>
      <c r="AU342" s="49">
        <f>AT342+U342</f>
        <v>4691500</v>
      </c>
      <c r="AV342" s="49">
        <f>AK342</f>
        <v>1600000</v>
      </c>
      <c r="AW342" s="72">
        <f>AV342/AU342*100</f>
        <v>34.104231056165411</v>
      </c>
      <c r="AX342" s="49">
        <f>AU342-AV342</f>
        <v>3091500</v>
      </c>
      <c r="AY342" s="49">
        <f>AS342/AB342*100</f>
        <v>0</v>
      </c>
      <c r="AZ342" s="73">
        <f t="shared" si="87"/>
        <v>1600000</v>
      </c>
    </row>
    <row r="343" spans="1:54" ht="20.100000000000001" customHeight="1">
      <c r="A343" s="68"/>
      <c r="B343" s="69"/>
      <c r="C343" s="240" t="s">
        <v>518</v>
      </c>
      <c r="D343" s="240"/>
      <c r="E343" s="241"/>
      <c r="F343" s="70"/>
      <c r="G343" s="71"/>
      <c r="H343" s="71"/>
      <c r="I343" s="71"/>
      <c r="J343" s="240" t="s">
        <v>155</v>
      </c>
      <c r="K343" s="241"/>
      <c r="L343" s="49">
        <v>1527000</v>
      </c>
      <c r="M343" s="49">
        <v>0</v>
      </c>
      <c r="N343" s="49"/>
      <c r="O343" s="49"/>
      <c r="P343" s="49"/>
      <c r="Q343" s="49">
        <f>SUM(N343:P343)</f>
        <v>0</v>
      </c>
      <c r="R343" s="72"/>
      <c r="S343" s="49">
        <f>M343-Q343</f>
        <v>0</v>
      </c>
      <c r="T343" s="49">
        <v>1527000</v>
      </c>
      <c r="U343" s="49">
        <f>T343+M343</f>
        <v>1527000</v>
      </c>
      <c r="V343" s="49">
        <f>T343+S343</f>
        <v>1527000</v>
      </c>
      <c r="W343" s="49"/>
      <c r="X343" s="49"/>
      <c r="Y343" s="49"/>
      <c r="Z343" s="49">
        <v>1526000</v>
      </c>
      <c r="AA343" s="49">
        <v>0</v>
      </c>
      <c r="AB343" s="49">
        <v>1527000</v>
      </c>
      <c r="AC343" s="49">
        <f t="shared" si="88"/>
        <v>0</v>
      </c>
      <c r="AD343" s="49">
        <f>AA343+T343+M343</f>
        <v>1527000</v>
      </c>
      <c r="AE343" s="49"/>
      <c r="AF343" s="49"/>
      <c r="AG343" s="49"/>
      <c r="AH343" s="49"/>
      <c r="AI343" s="49"/>
      <c r="AJ343" s="49"/>
      <c r="AK343" s="49">
        <f>Z343+Y343+X343+W343+N343+AG343+AJ343+AI343+AH343</f>
        <v>1526000</v>
      </c>
      <c r="AL343" s="49">
        <f>AK343/AD343*100</f>
        <v>99.934512115258684</v>
      </c>
      <c r="AM343" s="49"/>
      <c r="AN343" s="49"/>
      <c r="AO343" s="49"/>
      <c r="AP343" s="49"/>
      <c r="AQ343" s="49">
        <f>AK343+AM343+AN343+AO343+AP343</f>
        <v>1526000</v>
      </c>
      <c r="AR343" s="49">
        <f>AQ343/AB343*100</f>
        <v>99.934512115258684</v>
      </c>
      <c r="AS343" s="49">
        <f>AB343-AQ343</f>
        <v>1000</v>
      </c>
      <c r="AT343" s="49">
        <v>3091500</v>
      </c>
      <c r="AU343" s="49">
        <f>AT343+U343</f>
        <v>4618500</v>
      </c>
      <c r="AV343" s="49">
        <f>AK343</f>
        <v>1526000</v>
      </c>
      <c r="AW343" s="72">
        <f>AV343/AU343*100</f>
        <v>33.041030637652916</v>
      </c>
      <c r="AX343" s="49">
        <f>AU343-AV343</f>
        <v>3092500</v>
      </c>
      <c r="AY343" s="49">
        <f>AS343/AB343*100</f>
        <v>6.548788474132286E-2</v>
      </c>
      <c r="AZ343" s="73">
        <f t="shared" si="87"/>
        <v>1526000</v>
      </c>
    </row>
    <row r="344" spans="1:54" ht="20.100000000000001" customHeight="1">
      <c r="A344" s="68"/>
      <c r="B344" s="69"/>
      <c r="C344" s="240" t="s">
        <v>519</v>
      </c>
      <c r="D344" s="240"/>
      <c r="E344" s="241"/>
      <c r="F344" s="70"/>
      <c r="G344" s="71"/>
      <c r="H344" s="71"/>
      <c r="I344" s="240" t="s">
        <v>193</v>
      </c>
      <c r="J344" s="240"/>
      <c r="K344" s="241"/>
      <c r="L344" s="49"/>
      <c r="M344" s="49"/>
      <c r="N344" s="49"/>
      <c r="O344" s="49"/>
      <c r="P344" s="49"/>
      <c r="Q344" s="49"/>
      <c r="R344" s="72"/>
      <c r="S344" s="49"/>
      <c r="T344" s="49"/>
      <c r="U344" s="49"/>
      <c r="V344" s="49"/>
      <c r="W344" s="49"/>
      <c r="X344" s="49"/>
      <c r="Y344" s="49"/>
      <c r="Z344" s="49"/>
      <c r="AA344" s="49"/>
      <c r="AB344" s="49"/>
      <c r="AC344" s="49">
        <f t="shared" si="88"/>
        <v>0</v>
      </c>
      <c r="AD344" s="49"/>
      <c r="AE344" s="49"/>
      <c r="AF344" s="49"/>
      <c r="AG344" s="49"/>
      <c r="AH344" s="49"/>
      <c r="AI344" s="49"/>
      <c r="AJ344" s="49"/>
      <c r="AK344" s="49"/>
      <c r="AL344" s="49"/>
      <c r="AM344" s="49"/>
      <c r="AN344" s="49"/>
      <c r="AO344" s="49"/>
      <c r="AP344" s="49"/>
      <c r="AQ344" s="49"/>
      <c r="AR344" s="49"/>
      <c r="AS344" s="49"/>
      <c r="AT344" s="49"/>
      <c r="AU344" s="49"/>
      <c r="AV344" s="49"/>
      <c r="AW344" s="49"/>
      <c r="AX344" s="49"/>
      <c r="AY344" s="49"/>
      <c r="AZ344" s="73">
        <f t="shared" si="87"/>
        <v>0</v>
      </c>
    </row>
    <row r="345" spans="1:54" ht="20.100000000000001" customHeight="1">
      <c r="A345" s="68"/>
      <c r="B345" s="69"/>
      <c r="C345" s="240" t="s">
        <v>520</v>
      </c>
      <c r="D345" s="240"/>
      <c r="E345" s="241"/>
      <c r="F345" s="70"/>
      <c r="G345" s="71"/>
      <c r="H345" s="71"/>
      <c r="I345" s="71"/>
      <c r="J345" s="240" t="s">
        <v>195</v>
      </c>
      <c r="K345" s="241"/>
      <c r="L345" s="49">
        <v>36750000</v>
      </c>
      <c r="M345" s="49">
        <v>0</v>
      </c>
      <c r="N345" s="49"/>
      <c r="O345" s="49"/>
      <c r="P345" s="49"/>
      <c r="Q345" s="49">
        <f>SUM(N345:P345)</f>
        <v>0</v>
      </c>
      <c r="R345" s="72"/>
      <c r="S345" s="49">
        <f>M345-Q345</f>
        <v>0</v>
      </c>
      <c r="T345" s="49">
        <v>36750000</v>
      </c>
      <c r="U345" s="49">
        <f>T345+M345</f>
        <v>36750000</v>
      </c>
      <c r="V345" s="49">
        <f>T345+S345</f>
        <v>36750000</v>
      </c>
      <c r="W345" s="49"/>
      <c r="X345" s="49"/>
      <c r="Y345" s="49"/>
      <c r="Z345" s="49">
        <v>36750000</v>
      </c>
      <c r="AA345" s="49">
        <v>0</v>
      </c>
      <c r="AB345" s="49">
        <v>36750000</v>
      </c>
      <c r="AC345" s="49">
        <f t="shared" si="88"/>
        <v>0</v>
      </c>
      <c r="AD345" s="49">
        <f>AA345+T345+M345</f>
        <v>36750000</v>
      </c>
      <c r="AE345" s="49"/>
      <c r="AF345" s="49"/>
      <c r="AG345" s="49"/>
      <c r="AH345" s="49"/>
      <c r="AI345" s="49"/>
      <c r="AJ345" s="49"/>
      <c r="AK345" s="49">
        <f>Z345+Y345+X345+W345+N345+AG345+AJ345+AI345+AH345</f>
        <v>36750000</v>
      </c>
      <c r="AL345" s="49">
        <f>AK345/AD345*100</f>
        <v>100</v>
      </c>
      <c r="AM345" s="49"/>
      <c r="AN345" s="49"/>
      <c r="AO345" s="49"/>
      <c r="AP345" s="49"/>
      <c r="AQ345" s="49">
        <f>AK345+AM345+AN345+AO345+AP345</f>
        <v>36750000</v>
      </c>
      <c r="AR345" s="49">
        <f>AQ345/AB345*100</f>
        <v>100</v>
      </c>
      <c r="AS345" s="49">
        <f>AB345-AQ345</f>
        <v>0</v>
      </c>
      <c r="AT345" s="49">
        <v>3091500</v>
      </c>
      <c r="AU345" s="49">
        <f>AT345+U345</f>
        <v>39841500</v>
      </c>
      <c r="AV345" s="49">
        <f>AK345</f>
        <v>36750000</v>
      </c>
      <c r="AW345" s="72">
        <f>AV345/AU345*100</f>
        <v>92.240502993110198</v>
      </c>
      <c r="AX345" s="49">
        <f>AU345-AV345</f>
        <v>3091500</v>
      </c>
      <c r="AY345" s="49">
        <f>AS345/AB345*100</f>
        <v>0</v>
      </c>
      <c r="AZ345" s="73">
        <f t="shared" si="87"/>
        <v>36750000</v>
      </c>
    </row>
    <row r="346" spans="1:54" ht="20.100000000000001" customHeight="1">
      <c r="A346" s="68"/>
      <c r="B346" s="69"/>
      <c r="C346" s="240" t="s">
        <v>521</v>
      </c>
      <c r="D346" s="240"/>
      <c r="E346" s="241"/>
      <c r="F346" s="70"/>
      <c r="G346" s="71"/>
      <c r="H346" s="71"/>
      <c r="I346" s="240" t="s">
        <v>157</v>
      </c>
      <c r="J346" s="240"/>
      <c r="K346" s="241"/>
      <c r="L346" s="49"/>
      <c r="M346" s="49"/>
      <c r="N346" s="49"/>
      <c r="O346" s="49"/>
      <c r="P346" s="49"/>
      <c r="Q346" s="49"/>
      <c r="R346" s="72"/>
      <c r="S346" s="49"/>
      <c r="T346" s="49"/>
      <c r="U346" s="49"/>
      <c r="V346" s="49"/>
      <c r="W346" s="49"/>
      <c r="X346" s="49"/>
      <c r="Y346" s="49"/>
      <c r="Z346" s="49"/>
      <c r="AA346" s="49"/>
      <c r="AB346" s="49"/>
      <c r="AC346" s="49">
        <f t="shared" si="88"/>
        <v>0</v>
      </c>
      <c r="AD346" s="49"/>
      <c r="AE346" s="49"/>
      <c r="AF346" s="49"/>
      <c r="AG346" s="49"/>
      <c r="AH346" s="49"/>
      <c r="AI346" s="49"/>
      <c r="AJ346" s="49"/>
      <c r="AK346" s="49"/>
      <c r="AL346" s="49"/>
      <c r="AM346" s="49"/>
      <c r="AN346" s="49"/>
      <c r="AO346" s="49"/>
      <c r="AP346" s="49"/>
      <c r="AQ346" s="49"/>
      <c r="AR346" s="49"/>
      <c r="AS346" s="49"/>
      <c r="AT346" s="49"/>
      <c r="AU346" s="49"/>
      <c r="AV346" s="49"/>
      <c r="AW346" s="49"/>
      <c r="AX346" s="49"/>
      <c r="AY346" s="49"/>
      <c r="AZ346" s="73">
        <f t="shared" si="87"/>
        <v>0</v>
      </c>
    </row>
    <row r="347" spans="1:54" ht="20.100000000000001" customHeight="1">
      <c r="A347" s="68"/>
      <c r="B347" s="69"/>
      <c r="C347" s="240" t="s">
        <v>522</v>
      </c>
      <c r="D347" s="240"/>
      <c r="E347" s="241"/>
      <c r="F347" s="70"/>
      <c r="G347" s="71"/>
      <c r="H347" s="71"/>
      <c r="I347" s="71"/>
      <c r="J347" s="240" t="s">
        <v>159</v>
      </c>
      <c r="K347" s="241"/>
      <c r="L347" s="49">
        <v>14400000</v>
      </c>
      <c r="M347" s="49">
        <v>0</v>
      </c>
      <c r="N347" s="49"/>
      <c r="O347" s="49"/>
      <c r="P347" s="49"/>
      <c r="Q347" s="49">
        <f>SUM(N347:P347)</f>
        <v>0</v>
      </c>
      <c r="R347" s="72"/>
      <c r="S347" s="49">
        <f>M347-Q347</f>
        <v>0</v>
      </c>
      <c r="T347" s="49">
        <v>14400000</v>
      </c>
      <c r="U347" s="49">
        <f>T347+M347</f>
        <v>14400000</v>
      </c>
      <c r="V347" s="49">
        <f>T347+S347</f>
        <v>14400000</v>
      </c>
      <c r="W347" s="49"/>
      <c r="X347" s="49"/>
      <c r="Y347" s="49"/>
      <c r="Z347" s="49"/>
      <c r="AA347" s="49">
        <v>0</v>
      </c>
      <c r="AB347" s="49">
        <v>14400000</v>
      </c>
      <c r="AC347" s="49">
        <f t="shared" si="88"/>
        <v>0</v>
      </c>
      <c r="AD347" s="49">
        <f>AA347+T347+M347</f>
        <v>14400000</v>
      </c>
      <c r="AE347" s="49"/>
      <c r="AF347" s="49"/>
      <c r="AG347" s="49"/>
      <c r="AH347" s="49"/>
      <c r="AI347" s="49"/>
      <c r="AJ347" s="49"/>
      <c r="AK347" s="49">
        <f>Z347+Y347+X347+W347+N347+AG347+AJ347+AI347+AH347</f>
        <v>0</v>
      </c>
      <c r="AL347" s="49">
        <f>AK347/AD347*100</f>
        <v>0</v>
      </c>
      <c r="AM347" s="48"/>
      <c r="AN347" s="49"/>
      <c r="AO347" s="49"/>
      <c r="AP347" s="49"/>
      <c r="AQ347" s="49">
        <f>AK347+AM347+AN347+AO347+AP347</f>
        <v>0</v>
      </c>
      <c r="AR347" s="49">
        <f>AQ347/AB347*100</f>
        <v>0</v>
      </c>
      <c r="AS347" s="49">
        <f>AB347-AQ347</f>
        <v>14400000</v>
      </c>
      <c r="AT347" s="49">
        <v>3091500</v>
      </c>
      <c r="AU347" s="49">
        <f>AT347+U347</f>
        <v>17491500</v>
      </c>
      <c r="AV347" s="49">
        <f>AK347</f>
        <v>0</v>
      </c>
      <c r="AW347" s="72">
        <f>AV347/AU347*100</f>
        <v>0</v>
      </c>
      <c r="AX347" s="49">
        <f>AU347-AV347</f>
        <v>17491500</v>
      </c>
      <c r="AY347" s="49">
        <f>AS347/AB347*100</f>
        <v>100</v>
      </c>
      <c r="AZ347" s="73">
        <f t="shared" si="87"/>
        <v>0</v>
      </c>
      <c r="BB347" s="29">
        <f>AS347</f>
        <v>14400000</v>
      </c>
    </row>
    <row r="348" spans="1:54" ht="20.100000000000001" customHeight="1">
      <c r="A348" s="68"/>
      <c r="B348" s="69"/>
      <c r="C348" s="240" t="s">
        <v>523</v>
      </c>
      <c r="D348" s="240"/>
      <c r="E348" s="241"/>
      <c r="F348" s="70"/>
      <c r="G348" s="71"/>
      <c r="H348" s="71"/>
      <c r="I348" s="71"/>
      <c r="J348" s="240" t="s">
        <v>207</v>
      </c>
      <c r="K348" s="241"/>
      <c r="L348" s="49">
        <v>0</v>
      </c>
      <c r="M348" s="49">
        <v>0</v>
      </c>
      <c r="N348" s="49"/>
      <c r="O348" s="49"/>
      <c r="P348" s="49"/>
      <c r="Q348" s="49">
        <f>SUM(N348:P348)</f>
        <v>0</v>
      </c>
      <c r="R348" s="72"/>
      <c r="S348" s="49">
        <f>M348-Q348</f>
        <v>0</v>
      </c>
      <c r="T348" s="49">
        <v>0</v>
      </c>
      <c r="U348" s="49">
        <f>T348+M348</f>
        <v>0</v>
      </c>
      <c r="V348" s="49">
        <f>T348+S348</f>
        <v>0</v>
      </c>
      <c r="W348" s="49"/>
      <c r="X348" s="49"/>
      <c r="Y348" s="49"/>
      <c r="Z348" s="49"/>
      <c r="AA348" s="49">
        <v>0</v>
      </c>
      <c r="AB348" s="49">
        <v>0</v>
      </c>
      <c r="AC348" s="49">
        <f t="shared" si="88"/>
        <v>0</v>
      </c>
      <c r="AD348" s="49"/>
      <c r="AE348" s="49"/>
      <c r="AF348" s="49"/>
      <c r="AG348" s="49"/>
      <c r="AH348" s="49"/>
      <c r="AI348" s="49"/>
      <c r="AJ348" s="49"/>
      <c r="AK348" s="49">
        <f>Z348+Y348+X348+W348+N348+AG348+AJ348+AI348+AH348</f>
        <v>0</v>
      </c>
      <c r="AL348" s="49"/>
      <c r="AM348" s="49"/>
      <c r="AN348" s="49"/>
      <c r="AO348" s="49"/>
      <c r="AP348" s="49"/>
      <c r="AQ348" s="49"/>
      <c r="AR348" s="49"/>
      <c r="AS348" s="49"/>
      <c r="AT348" s="49"/>
      <c r="AU348" s="49"/>
      <c r="AV348" s="49"/>
      <c r="AW348" s="49"/>
      <c r="AX348" s="49"/>
      <c r="AY348" s="49"/>
      <c r="AZ348" s="73">
        <f t="shared" si="87"/>
        <v>0</v>
      </c>
    </row>
    <row r="349" spans="1:54" ht="20.100000000000001" customHeight="1">
      <c r="A349" s="68"/>
      <c r="B349" s="69"/>
      <c r="C349" s="240" t="s">
        <v>524</v>
      </c>
      <c r="D349" s="240"/>
      <c r="E349" s="241"/>
      <c r="F349" s="70"/>
      <c r="G349" s="71"/>
      <c r="H349" s="71"/>
      <c r="I349" s="240" t="s">
        <v>402</v>
      </c>
      <c r="J349" s="240"/>
      <c r="K349" s="241"/>
      <c r="L349" s="49"/>
      <c r="M349" s="49"/>
      <c r="N349" s="49"/>
      <c r="O349" s="49"/>
      <c r="P349" s="49"/>
      <c r="Q349" s="49"/>
      <c r="R349" s="72"/>
      <c r="S349" s="49"/>
      <c r="T349" s="49"/>
      <c r="U349" s="49"/>
      <c r="V349" s="49"/>
      <c r="W349" s="49"/>
      <c r="X349" s="49"/>
      <c r="Y349" s="49"/>
      <c r="Z349" s="49"/>
      <c r="AA349" s="49"/>
      <c r="AB349" s="49"/>
      <c r="AC349" s="49">
        <f t="shared" si="88"/>
        <v>0</v>
      </c>
      <c r="AD349" s="49"/>
      <c r="AE349" s="49"/>
      <c r="AF349" s="49"/>
      <c r="AG349" s="49"/>
      <c r="AH349" s="49"/>
      <c r="AI349" s="49"/>
      <c r="AJ349" s="49"/>
      <c r="AK349" s="49"/>
      <c r="AL349" s="49"/>
      <c r="AM349" s="49"/>
      <c r="AN349" s="49"/>
      <c r="AO349" s="49"/>
      <c r="AP349" s="49"/>
      <c r="AQ349" s="49"/>
      <c r="AR349" s="49"/>
      <c r="AS349" s="49"/>
      <c r="AT349" s="49"/>
      <c r="AU349" s="49"/>
      <c r="AV349" s="49"/>
      <c r="AW349" s="49"/>
      <c r="AX349" s="49"/>
      <c r="AY349" s="49"/>
      <c r="AZ349" s="73">
        <f t="shared" si="87"/>
        <v>0</v>
      </c>
    </row>
    <row r="350" spans="1:54" ht="20.100000000000001" customHeight="1">
      <c r="A350" s="68"/>
      <c r="B350" s="69"/>
      <c r="C350" s="240" t="s">
        <v>525</v>
      </c>
      <c r="D350" s="240"/>
      <c r="E350" s="241"/>
      <c r="F350" s="70"/>
      <c r="G350" s="71"/>
      <c r="H350" s="71"/>
      <c r="I350" s="71"/>
      <c r="J350" s="240" t="s">
        <v>404</v>
      </c>
      <c r="K350" s="241"/>
      <c r="L350" s="49">
        <v>26250000</v>
      </c>
      <c r="M350" s="49">
        <v>0</v>
      </c>
      <c r="N350" s="49"/>
      <c r="O350" s="49"/>
      <c r="P350" s="49"/>
      <c r="Q350" s="49">
        <f>SUM(N350:P350)</f>
        <v>0</v>
      </c>
      <c r="R350" s="72"/>
      <c r="S350" s="49">
        <f>M350-Q350</f>
        <v>0</v>
      </c>
      <c r="T350" s="49">
        <v>26250000</v>
      </c>
      <c r="U350" s="49">
        <f>T350+M350</f>
        <v>26250000</v>
      </c>
      <c r="V350" s="49">
        <f>T350+S350</f>
        <v>26250000</v>
      </c>
      <c r="W350" s="49"/>
      <c r="X350" s="49"/>
      <c r="Y350" s="49"/>
      <c r="Z350" s="49">
        <v>26250000</v>
      </c>
      <c r="AA350" s="49">
        <v>0</v>
      </c>
      <c r="AB350" s="49">
        <v>26250000</v>
      </c>
      <c r="AC350" s="49">
        <f t="shared" si="88"/>
        <v>0</v>
      </c>
      <c r="AD350" s="49">
        <f>AA350+T350+M350</f>
        <v>26250000</v>
      </c>
      <c r="AE350" s="49"/>
      <c r="AF350" s="49"/>
      <c r="AG350" s="49"/>
      <c r="AH350" s="49"/>
      <c r="AI350" s="49"/>
      <c r="AJ350" s="49"/>
      <c r="AK350" s="49">
        <f>Z350+Y350+X350+W350+N350+AG350+AJ350+AI350+AH350</f>
        <v>26250000</v>
      </c>
      <c r="AL350" s="49">
        <f>AK350/AD350*100</f>
        <v>100</v>
      </c>
      <c r="AM350" s="49"/>
      <c r="AN350" s="49"/>
      <c r="AO350" s="49"/>
      <c r="AP350" s="49"/>
      <c r="AQ350" s="49">
        <f>AK350+AM350+AN350+AO350+AP350</f>
        <v>26250000</v>
      </c>
      <c r="AR350" s="49">
        <f>AQ350/AB350*100</f>
        <v>100</v>
      </c>
      <c r="AS350" s="49">
        <f>AB350-AQ350</f>
        <v>0</v>
      </c>
      <c r="AT350" s="49">
        <v>3091500</v>
      </c>
      <c r="AU350" s="49">
        <f>AT350+U350</f>
        <v>29341500</v>
      </c>
      <c r="AV350" s="49">
        <f>AK350</f>
        <v>26250000</v>
      </c>
      <c r="AW350" s="72">
        <f>AV350/AU350*100</f>
        <v>89.463728848218395</v>
      </c>
      <c r="AX350" s="49">
        <f>AU350-AV350</f>
        <v>3091500</v>
      </c>
      <c r="AY350" s="49">
        <f>AS350/AB350*100</f>
        <v>0</v>
      </c>
      <c r="AZ350" s="73">
        <f t="shared" si="87"/>
        <v>26250000</v>
      </c>
    </row>
    <row r="351" spans="1:54" ht="20.100000000000001" customHeight="1">
      <c r="A351" s="62">
        <v>24</v>
      </c>
      <c r="B351" s="63"/>
      <c r="C351" s="242" t="s">
        <v>526</v>
      </c>
      <c r="D351" s="242"/>
      <c r="E351" s="243"/>
      <c r="F351" s="64"/>
      <c r="G351" s="244" t="s">
        <v>527</v>
      </c>
      <c r="H351" s="244"/>
      <c r="I351" s="244"/>
      <c r="J351" s="244"/>
      <c r="K351" s="245"/>
      <c r="L351" s="65">
        <f>SUM(L354:L373)</f>
        <v>322575000</v>
      </c>
      <c r="M351" s="65">
        <f>SUM(M354:M373)</f>
        <v>322575000</v>
      </c>
      <c r="N351" s="65">
        <f>SUM(N354:N373)</f>
        <v>0</v>
      </c>
      <c r="O351" s="65">
        <f>SUM(O354:O373)</f>
        <v>0</v>
      </c>
      <c r="P351" s="65">
        <f>SUM(P354:P373)</f>
        <v>0</v>
      </c>
      <c r="Q351" s="65">
        <f>SUM(N351:P351)</f>
        <v>0</v>
      </c>
      <c r="R351" s="66">
        <f>Q351/M351*100</f>
        <v>0</v>
      </c>
      <c r="S351" s="65">
        <f>M351-Q351</f>
        <v>322575000</v>
      </c>
      <c r="T351" s="65">
        <f>SUM(T354:T373)</f>
        <v>0</v>
      </c>
      <c r="U351" s="65">
        <f>T351+M351</f>
        <v>322575000</v>
      </c>
      <c r="V351" s="65">
        <f>T351+S351</f>
        <v>322575000</v>
      </c>
      <c r="W351" s="65">
        <f t="shared" ref="W351:AB351" si="92">SUM(W354:W373)</f>
        <v>0</v>
      </c>
      <c r="X351" s="65">
        <f t="shared" si="92"/>
        <v>0</v>
      </c>
      <c r="Y351" s="65">
        <f t="shared" si="92"/>
        <v>0</v>
      </c>
      <c r="Z351" s="65">
        <f t="shared" si="92"/>
        <v>317765975</v>
      </c>
      <c r="AA351" s="65">
        <f t="shared" si="92"/>
        <v>0</v>
      </c>
      <c r="AB351" s="65">
        <f t="shared" si="92"/>
        <v>322575000</v>
      </c>
      <c r="AC351" s="65">
        <f t="shared" si="88"/>
        <v>0</v>
      </c>
      <c r="AD351" s="65">
        <f>AA351+T351+M351</f>
        <v>322575000</v>
      </c>
      <c r="AE351" s="65">
        <f t="shared" ref="AE351:AK351" si="93">SUM(AE354:AE373)</f>
        <v>0</v>
      </c>
      <c r="AF351" s="65">
        <f t="shared" si="93"/>
        <v>0</v>
      </c>
      <c r="AG351" s="65">
        <f t="shared" si="93"/>
        <v>0</v>
      </c>
      <c r="AH351" s="65">
        <f t="shared" si="93"/>
        <v>0</v>
      </c>
      <c r="AI351" s="65">
        <f t="shared" si="93"/>
        <v>0</v>
      </c>
      <c r="AJ351" s="65">
        <f t="shared" si="93"/>
        <v>0</v>
      </c>
      <c r="AK351" s="65">
        <f t="shared" si="93"/>
        <v>317765975</v>
      </c>
      <c r="AL351" s="65">
        <f>AK351/AB351*100</f>
        <v>98.509176160582811</v>
      </c>
      <c r="AM351" s="65">
        <f>SUM(AM354:AM373)</f>
        <v>0</v>
      </c>
      <c r="AN351" s="65">
        <f>SUM(AN354:AN373)</f>
        <v>0</v>
      </c>
      <c r="AO351" s="65">
        <f>SUM(AO354:AO373)</f>
        <v>0</v>
      </c>
      <c r="AP351" s="65">
        <f>SUM(AP354:AP373)</f>
        <v>0</v>
      </c>
      <c r="AQ351" s="65">
        <f>AK351+AM351+AN351+AO351+AP351</f>
        <v>317765975</v>
      </c>
      <c r="AR351" s="65">
        <f>AQ351/AB351*100</f>
        <v>98.509176160582811</v>
      </c>
      <c r="AS351" s="65">
        <f>AB351-AQ351</f>
        <v>4809025</v>
      </c>
      <c r="AT351" s="65">
        <f>SUM(AT354:AT360)</f>
        <v>12366000</v>
      </c>
      <c r="AU351" s="65">
        <f>AT351+U351</f>
        <v>334941000</v>
      </c>
      <c r="AV351" s="65">
        <f>AK351</f>
        <v>317765975</v>
      </c>
      <c r="AW351" s="66">
        <f>AV351/AU351*100</f>
        <v>94.872223764782461</v>
      </c>
      <c r="AX351" s="65">
        <f>AU351-AV351</f>
        <v>17175025</v>
      </c>
      <c r="AY351" s="65">
        <f>AS351/AB351*100</f>
        <v>1.4908238394171898</v>
      </c>
      <c r="AZ351" s="67">
        <f t="shared" si="87"/>
        <v>317765975</v>
      </c>
      <c r="BA351" s="29">
        <f>AS351</f>
        <v>4809025</v>
      </c>
    </row>
    <row r="352" spans="1:54" ht="20.100000000000001" customHeight="1">
      <c r="A352" s="68"/>
      <c r="B352" s="69"/>
      <c r="C352" s="240" t="s">
        <v>528</v>
      </c>
      <c r="D352" s="240"/>
      <c r="E352" s="241"/>
      <c r="F352" s="70"/>
      <c r="G352" s="71"/>
      <c r="H352" s="240" t="s">
        <v>10</v>
      </c>
      <c r="I352" s="240"/>
      <c r="J352" s="240"/>
      <c r="K352" s="241"/>
      <c r="L352" s="49"/>
      <c r="M352" s="49"/>
      <c r="N352" s="49"/>
      <c r="O352" s="49"/>
      <c r="P352" s="49"/>
      <c r="Q352" s="49"/>
      <c r="R352" s="72"/>
      <c r="S352" s="49"/>
      <c r="T352" s="49"/>
      <c r="U352" s="49"/>
      <c r="V352" s="49"/>
      <c r="W352" s="49"/>
      <c r="X352" s="49"/>
      <c r="Y352" s="49"/>
      <c r="Z352" s="49"/>
      <c r="AA352" s="49"/>
      <c r="AB352" s="49"/>
      <c r="AC352" s="49">
        <f t="shared" si="88"/>
        <v>0</v>
      </c>
      <c r="AD352" s="49"/>
      <c r="AE352" s="49"/>
      <c r="AF352" s="49"/>
      <c r="AG352" s="49"/>
      <c r="AH352" s="49"/>
      <c r="AI352" s="49"/>
      <c r="AJ352" s="49"/>
      <c r="AK352" s="49"/>
      <c r="AL352" s="49"/>
      <c r="AM352" s="49"/>
      <c r="AN352" s="49"/>
      <c r="AO352" s="49"/>
      <c r="AP352" s="49"/>
      <c r="AQ352" s="49"/>
      <c r="AR352" s="49"/>
      <c r="AS352" s="49"/>
      <c r="AT352" s="49"/>
      <c r="AU352" s="49"/>
      <c r="AV352" s="49"/>
      <c r="AW352" s="49"/>
      <c r="AX352" s="49"/>
      <c r="AY352" s="49"/>
      <c r="AZ352" s="73">
        <f t="shared" si="87"/>
        <v>0</v>
      </c>
    </row>
    <row r="353" spans="1:52" ht="20.100000000000001" customHeight="1">
      <c r="A353" s="68"/>
      <c r="B353" s="69"/>
      <c r="C353" s="240" t="s">
        <v>529</v>
      </c>
      <c r="D353" s="240"/>
      <c r="E353" s="241"/>
      <c r="F353" s="70"/>
      <c r="G353" s="71"/>
      <c r="H353" s="71"/>
      <c r="I353" s="240" t="s">
        <v>177</v>
      </c>
      <c r="J353" s="240"/>
      <c r="K353" s="241"/>
      <c r="L353" s="49"/>
      <c r="M353" s="49"/>
      <c r="N353" s="49"/>
      <c r="O353" s="49"/>
      <c r="P353" s="49"/>
      <c r="Q353" s="49"/>
      <c r="R353" s="72"/>
      <c r="S353" s="49"/>
      <c r="T353" s="49"/>
      <c r="U353" s="49"/>
      <c r="V353" s="49"/>
      <c r="W353" s="49"/>
      <c r="X353" s="49"/>
      <c r="Y353" s="49"/>
      <c r="Z353" s="49"/>
      <c r="AA353" s="49"/>
      <c r="AB353" s="49"/>
      <c r="AC353" s="49">
        <f t="shared" si="88"/>
        <v>0</v>
      </c>
      <c r="AD353" s="49"/>
      <c r="AE353" s="49"/>
      <c r="AF353" s="49"/>
      <c r="AG353" s="49"/>
      <c r="AH353" s="49"/>
      <c r="AI353" s="49"/>
      <c r="AJ353" s="49"/>
      <c r="AK353" s="49"/>
      <c r="AL353" s="49"/>
      <c r="AM353" s="49"/>
      <c r="AN353" s="49"/>
      <c r="AO353" s="49"/>
      <c r="AP353" s="49"/>
      <c r="AQ353" s="49"/>
      <c r="AR353" s="49"/>
      <c r="AS353" s="49"/>
      <c r="AT353" s="49"/>
      <c r="AU353" s="49"/>
      <c r="AV353" s="49"/>
      <c r="AW353" s="49"/>
      <c r="AX353" s="49"/>
      <c r="AY353" s="49"/>
      <c r="AZ353" s="73">
        <f t="shared" si="87"/>
        <v>0</v>
      </c>
    </row>
    <row r="354" spans="1:52" ht="20.100000000000001" customHeight="1">
      <c r="A354" s="68"/>
      <c r="B354" s="69"/>
      <c r="C354" s="240" t="s">
        <v>530</v>
      </c>
      <c r="D354" s="240"/>
      <c r="E354" s="241"/>
      <c r="F354" s="70"/>
      <c r="G354" s="71"/>
      <c r="H354" s="71"/>
      <c r="I354" s="71"/>
      <c r="J354" s="240" t="s">
        <v>283</v>
      </c>
      <c r="K354" s="241"/>
      <c r="L354" s="49">
        <v>8200000</v>
      </c>
      <c r="M354" s="49">
        <f>L354</f>
        <v>8200000</v>
      </c>
      <c r="N354" s="49"/>
      <c r="O354" s="49"/>
      <c r="P354" s="49"/>
      <c r="Q354" s="49">
        <f>SUM(N354:P354)</f>
        <v>0</v>
      </c>
      <c r="R354" s="72">
        <f>Q354/M354*100</f>
        <v>0</v>
      </c>
      <c r="S354" s="49">
        <f>M354-Q354</f>
        <v>8200000</v>
      </c>
      <c r="T354" s="49">
        <v>0</v>
      </c>
      <c r="U354" s="49">
        <f>T354+M354</f>
        <v>8200000</v>
      </c>
      <c r="V354" s="49">
        <f>T354+S354</f>
        <v>8200000</v>
      </c>
      <c r="W354" s="49"/>
      <c r="X354" s="49"/>
      <c r="Y354" s="49"/>
      <c r="Z354" s="49">
        <v>8200000</v>
      </c>
      <c r="AA354" s="49">
        <v>0</v>
      </c>
      <c r="AB354" s="49">
        <v>8200000</v>
      </c>
      <c r="AC354" s="49">
        <f t="shared" si="88"/>
        <v>0</v>
      </c>
      <c r="AD354" s="49">
        <f t="shared" ref="AD354:AD360" si="94">AA354+T354+M354</f>
        <v>8200000</v>
      </c>
      <c r="AE354" s="49"/>
      <c r="AF354" s="49"/>
      <c r="AG354" s="49"/>
      <c r="AH354" s="49"/>
      <c r="AI354" s="49"/>
      <c r="AJ354" s="49"/>
      <c r="AK354" s="49">
        <f>Z354+Y354+X354+W354+N354+AG354+AJ354+AI354+AH354</f>
        <v>8200000</v>
      </c>
      <c r="AL354" s="49">
        <f>AK354/AD354*100</f>
        <v>100</v>
      </c>
      <c r="AM354" s="49"/>
      <c r="AN354" s="49"/>
      <c r="AO354" s="49"/>
      <c r="AP354" s="49"/>
      <c r="AQ354" s="49">
        <f>AK354+AM354+AN354+AO354+AP354</f>
        <v>8200000</v>
      </c>
      <c r="AR354" s="49">
        <f>AQ354/AB354*100</f>
        <v>100</v>
      </c>
      <c r="AS354" s="49">
        <f>AB354-AQ354</f>
        <v>0</v>
      </c>
      <c r="AT354" s="49">
        <v>3091500</v>
      </c>
      <c r="AU354" s="49">
        <f>AT354+U354</f>
        <v>11291500</v>
      </c>
      <c r="AV354" s="49">
        <f>AK354</f>
        <v>8200000</v>
      </c>
      <c r="AW354" s="72">
        <f>AV354/AU354*100</f>
        <v>72.620998095912853</v>
      </c>
      <c r="AX354" s="49">
        <f>AU354-AV354</f>
        <v>3091500</v>
      </c>
      <c r="AY354" s="49">
        <f t="shared" ref="AY354:AY415" si="95">AS354/AB354*100</f>
        <v>0</v>
      </c>
      <c r="AZ354" s="73">
        <f t="shared" si="87"/>
        <v>8200000</v>
      </c>
    </row>
    <row r="355" spans="1:52" ht="20.100000000000001" customHeight="1">
      <c r="A355" s="68"/>
      <c r="B355" s="69"/>
      <c r="C355" s="240" t="s">
        <v>531</v>
      </c>
      <c r="D355" s="240"/>
      <c r="E355" s="241"/>
      <c r="F355" s="70"/>
      <c r="G355" s="71"/>
      <c r="H355" s="71"/>
      <c r="I355" s="71"/>
      <c r="J355" s="240" t="s">
        <v>384</v>
      </c>
      <c r="K355" s="241"/>
      <c r="L355" s="49">
        <v>2245000</v>
      </c>
      <c r="M355" s="49">
        <f t="shared" ref="M355:M373" si="96">L355</f>
        <v>2245000</v>
      </c>
      <c r="N355" s="49"/>
      <c r="O355" s="49"/>
      <c r="P355" s="49"/>
      <c r="Q355" s="49">
        <f>SUM(N355:P355)</f>
        <v>0</v>
      </c>
      <c r="R355" s="72">
        <f>Q355/M355*100</f>
        <v>0</v>
      </c>
      <c r="S355" s="49">
        <f>M355-Q355</f>
        <v>2245000</v>
      </c>
      <c r="T355" s="49">
        <v>0</v>
      </c>
      <c r="U355" s="49">
        <f>T355+M355</f>
        <v>2245000</v>
      </c>
      <c r="V355" s="49">
        <f>T355+S355</f>
        <v>2245000</v>
      </c>
      <c r="W355" s="49"/>
      <c r="X355" s="49"/>
      <c r="Y355" s="49"/>
      <c r="Z355" s="49">
        <v>670000</v>
      </c>
      <c r="AA355" s="49">
        <v>0</v>
      </c>
      <c r="AB355" s="49">
        <v>2245000</v>
      </c>
      <c r="AC355" s="49">
        <f t="shared" si="88"/>
        <v>0</v>
      </c>
      <c r="AD355" s="49">
        <f t="shared" si="94"/>
        <v>2245000</v>
      </c>
      <c r="AE355" s="49"/>
      <c r="AF355" s="49"/>
      <c r="AG355" s="49"/>
      <c r="AH355" s="49"/>
      <c r="AI355" s="49"/>
      <c r="AJ355" s="49"/>
      <c r="AK355" s="49">
        <f>Z355+Y355+X355+W355+N355+AG355+AJ355+AI355+AH355</f>
        <v>670000</v>
      </c>
      <c r="AL355" s="49">
        <f>AK355/AD355*100</f>
        <v>29.84409799554566</v>
      </c>
      <c r="AM355" s="49"/>
      <c r="AN355" s="49"/>
      <c r="AO355" s="49"/>
      <c r="AP355" s="49"/>
      <c r="AQ355" s="49">
        <f>AK355+AM355+AN355+AO355+AP355</f>
        <v>670000</v>
      </c>
      <c r="AR355" s="49">
        <f>AQ355/AB355*100</f>
        <v>29.84409799554566</v>
      </c>
      <c r="AS355" s="49">
        <f>AB355-AQ355</f>
        <v>1575000</v>
      </c>
      <c r="AT355" s="49">
        <v>3091500</v>
      </c>
      <c r="AU355" s="49">
        <f>AT355+U355</f>
        <v>5336500</v>
      </c>
      <c r="AV355" s="49">
        <f>AK355</f>
        <v>670000</v>
      </c>
      <c r="AW355" s="72">
        <f>AV355/AU355*100</f>
        <v>12.55504544176895</v>
      </c>
      <c r="AX355" s="49">
        <f>AU355-AV355</f>
        <v>4666500</v>
      </c>
      <c r="AY355" s="49">
        <f t="shared" si="95"/>
        <v>70.155902004454333</v>
      </c>
      <c r="AZ355" s="73">
        <f t="shared" si="87"/>
        <v>670000</v>
      </c>
    </row>
    <row r="356" spans="1:52" ht="20.100000000000001" customHeight="1">
      <c r="A356" s="68"/>
      <c r="B356" s="69"/>
      <c r="C356" s="240" t="s">
        <v>532</v>
      </c>
      <c r="D356" s="240"/>
      <c r="E356" s="241"/>
      <c r="F356" s="70"/>
      <c r="G356" s="71"/>
      <c r="H356" s="240" t="s">
        <v>143</v>
      </c>
      <c r="I356" s="240"/>
      <c r="J356" s="240"/>
      <c r="K356" s="241"/>
      <c r="L356" s="49"/>
      <c r="M356" s="49">
        <f t="shared" si="96"/>
        <v>0</v>
      </c>
      <c r="N356" s="49"/>
      <c r="O356" s="49"/>
      <c r="P356" s="49"/>
      <c r="Q356" s="49"/>
      <c r="R356" s="72"/>
      <c r="S356" s="49"/>
      <c r="T356" s="49"/>
      <c r="U356" s="49"/>
      <c r="V356" s="49"/>
      <c r="W356" s="49"/>
      <c r="X356" s="49"/>
      <c r="Y356" s="49"/>
      <c r="Z356" s="49"/>
      <c r="AA356" s="49"/>
      <c r="AB356" s="49"/>
      <c r="AC356" s="49">
        <f t="shared" si="88"/>
        <v>0</v>
      </c>
      <c r="AD356" s="49"/>
      <c r="AE356" s="49"/>
      <c r="AF356" s="49"/>
      <c r="AG356" s="49"/>
      <c r="AH356" s="49"/>
      <c r="AI356" s="49"/>
      <c r="AJ356" s="49"/>
      <c r="AK356" s="49"/>
      <c r="AL356" s="49"/>
      <c r="AM356" s="49"/>
      <c r="AN356" s="49"/>
      <c r="AO356" s="49"/>
      <c r="AP356" s="49"/>
      <c r="AQ356" s="49"/>
      <c r="AR356" s="49"/>
      <c r="AS356" s="49"/>
      <c r="AT356" s="49"/>
      <c r="AU356" s="49"/>
      <c r="AV356" s="49"/>
      <c r="AW356" s="49"/>
      <c r="AX356" s="49"/>
      <c r="AY356" s="49"/>
      <c r="AZ356" s="73">
        <f t="shared" ref="AZ356:AZ419" si="97">AQ356-AO356</f>
        <v>0</v>
      </c>
    </row>
    <row r="357" spans="1:52" ht="20.100000000000001" customHeight="1">
      <c r="A357" s="68"/>
      <c r="B357" s="69"/>
      <c r="C357" s="240" t="s">
        <v>533</v>
      </c>
      <c r="D357" s="240"/>
      <c r="E357" s="241"/>
      <c r="F357" s="70"/>
      <c r="G357" s="71"/>
      <c r="H357" s="71"/>
      <c r="I357" s="240" t="s">
        <v>145</v>
      </c>
      <c r="J357" s="240"/>
      <c r="K357" s="241"/>
      <c r="L357" s="49"/>
      <c r="M357" s="49">
        <f t="shared" si="96"/>
        <v>0</v>
      </c>
      <c r="N357" s="49"/>
      <c r="O357" s="49"/>
      <c r="P357" s="49"/>
      <c r="Q357" s="49"/>
      <c r="R357" s="72"/>
      <c r="S357" s="49"/>
      <c r="T357" s="49">
        <v>0</v>
      </c>
      <c r="U357" s="49">
        <f>T357+M357</f>
        <v>0</v>
      </c>
      <c r="V357" s="49">
        <f>T357+S357</f>
        <v>0</v>
      </c>
      <c r="W357" s="49"/>
      <c r="X357" s="49"/>
      <c r="Y357" s="49"/>
      <c r="Z357" s="49"/>
      <c r="AA357" s="49">
        <v>0</v>
      </c>
      <c r="AB357" s="49"/>
      <c r="AC357" s="49">
        <f t="shared" si="88"/>
        <v>0</v>
      </c>
      <c r="AD357" s="49"/>
      <c r="AE357" s="49"/>
      <c r="AF357" s="49"/>
      <c r="AG357" s="49"/>
      <c r="AH357" s="49"/>
      <c r="AI357" s="49"/>
      <c r="AJ357" s="49"/>
      <c r="AK357" s="49"/>
      <c r="AL357" s="49"/>
      <c r="AM357" s="49"/>
      <c r="AN357" s="49"/>
      <c r="AO357" s="49"/>
      <c r="AP357" s="49"/>
      <c r="AQ357" s="49"/>
      <c r="AR357" s="49"/>
      <c r="AS357" s="49"/>
      <c r="AT357" s="49"/>
      <c r="AU357" s="49"/>
      <c r="AV357" s="49"/>
      <c r="AW357" s="49"/>
      <c r="AX357" s="49"/>
      <c r="AY357" s="49"/>
      <c r="AZ357" s="73">
        <f t="shared" si="97"/>
        <v>0</v>
      </c>
    </row>
    <row r="358" spans="1:52" ht="20.100000000000001" customHeight="1">
      <c r="A358" s="68"/>
      <c r="B358" s="69"/>
      <c r="C358" s="240" t="s">
        <v>534</v>
      </c>
      <c r="D358" s="240"/>
      <c r="E358" s="241"/>
      <c r="F358" s="70"/>
      <c r="G358" s="71"/>
      <c r="H358" s="71"/>
      <c r="I358" s="71"/>
      <c r="J358" s="240" t="s">
        <v>147</v>
      </c>
      <c r="K358" s="241"/>
      <c r="L358" s="49">
        <v>5453000</v>
      </c>
      <c r="M358" s="49">
        <f t="shared" si="96"/>
        <v>5453000</v>
      </c>
      <c r="N358" s="49"/>
      <c r="O358" s="49"/>
      <c r="P358" s="49"/>
      <c r="Q358" s="49">
        <f>SUM(N358:P358)</f>
        <v>0</v>
      </c>
      <c r="R358" s="72">
        <f>Q358/M358*100</f>
        <v>0</v>
      </c>
      <c r="S358" s="49">
        <f>M358-Q358</f>
        <v>5453000</v>
      </c>
      <c r="T358" s="49">
        <v>0</v>
      </c>
      <c r="U358" s="49">
        <f>T358+M358</f>
        <v>5453000</v>
      </c>
      <c r="V358" s="49">
        <f>T358+S358</f>
        <v>5453000</v>
      </c>
      <c r="W358" s="49"/>
      <c r="X358" s="49"/>
      <c r="Y358" s="49"/>
      <c r="Z358" s="76">
        <v>5453000</v>
      </c>
      <c r="AA358" s="49">
        <v>0</v>
      </c>
      <c r="AB358" s="49">
        <v>5453000</v>
      </c>
      <c r="AC358" s="49">
        <f t="shared" si="88"/>
        <v>0</v>
      </c>
      <c r="AD358" s="49">
        <f t="shared" si="94"/>
        <v>5453000</v>
      </c>
      <c r="AE358" s="49"/>
      <c r="AF358" s="49"/>
      <c r="AG358" s="49"/>
      <c r="AH358" s="49"/>
      <c r="AI358" s="49"/>
      <c r="AJ358" s="49"/>
      <c r="AK358" s="49">
        <f>Z358+Y358+X358+W358+N358+AG358+AJ358+AI358+AH358</f>
        <v>5453000</v>
      </c>
      <c r="AL358" s="49">
        <f>AK358/AD358*100</f>
        <v>100</v>
      </c>
      <c r="AM358" s="49"/>
      <c r="AN358" s="49"/>
      <c r="AO358" s="49"/>
      <c r="AP358" s="49"/>
      <c r="AQ358" s="49">
        <f>AK358+AM358+AN358+AO358+AP358</f>
        <v>5453000</v>
      </c>
      <c r="AR358" s="49">
        <f>AQ358/AB358*100</f>
        <v>100</v>
      </c>
      <c r="AS358" s="49">
        <f t="shared" ref="AS358:AS415" si="98">AB358-AQ358</f>
        <v>0</v>
      </c>
      <c r="AT358" s="49">
        <v>3091500</v>
      </c>
      <c r="AU358" s="49">
        <f>AT358+U358</f>
        <v>8544500</v>
      </c>
      <c r="AV358" s="49">
        <f>AK358</f>
        <v>5453000</v>
      </c>
      <c r="AW358" s="72">
        <f>AV358/AU358*100</f>
        <v>63.81883082684768</v>
      </c>
      <c r="AX358" s="49">
        <f>AU358-AV358</f>
        <v>3091500</v>
      </c>
      <c r="AY358" s="49">
        <f t="shared" si="95"/>
        <v>0</v>
      </c>
      <c r="AZ358" s="73">
        <f t="shared" si="97"/>
        <v>5453000</v>
      </c>
    </row>
    <row r="359" spans="1:52" ht="20.100000000000001" customHeight="1">
      <c r="A359" s="68"/>
      <c r="B359" s="69"/>
      <c r="C359" s="240" t="s">
        <v>535</v>
      </c>
      <c r="D359" s="240"/>
      <c r="E359" s="241"/>
      <c r="F359" s="70"/>
      <c r="G359" s="71"/>
      <c r="H359" s="71"/>
      <c r="I359" s="240" t="s">
        <v>389</v>
      </c>
      <c r="J359" s="240"/>
      <c r="K359" s="241"/>
      <c r="L359" s="49"/>
      <c r="M359" s="49">
        <f t="shared" si="96"/>
        <v>0</v>
      </c>
      <c r="N359" s="49"/>
      <c r="O359" s="49"/>
      <c r="P359" s="49"/>
      <c r="Q359" s="49"/>
      <c r="R359" s="72"/>
      <c r="S359" s="49"/>
      <c r="T359" s="49">
        <v>0</v>
      </c>
      <c r="U359" s="49">
        <f>T359+M359</f>
        <v>0</v>
      </c>
      <c r="V359" s="49">
        <f>T359+S359</f>
        <v>0</v>
      </c>
      <c r="W359" s="49"/>
      <c r="X359" s="49"/>
      <c r="Y359" s="49"/>
      <c r="Z359" s="49"/>
      <c r="AA359" s="49">
        <v>0</v>
      </c>
      <c r="AB359" s="49"/>
      <c r="AC359" s="49">
        <f t="shared" si="88"/>
        <v>0</v>
      </c>
      <c r="AD359" s="49"/>
      <c r="AE359" s="49"/>
      <c r="AF359" s="49"/>
      <c r="AG359" s="49"/>
      <c r="AH359" s="49"/>
      <c r="AI359" s="49"/>
      <c r="AJ359" s="49"/>
      <c r="AK359" s="49"/>
      <c r="AL359" s="49"/>
      <c r="AM359" s="49"/>
      <c r="AN359" s="49"/>
      <c r="AO359" s="49"/>
      <c r="AP359" s="49"/>
      <c r="AQ359" s="49"/>
      <c r="AR359" s="49"/>
      <c r="AS359" s="49"/>
      <c r="AT359" s="49"/>
      <c r="AU359" s="49"/>
      <c r="AV359" s="49"/>
      <c r="AW359" s="49"/>
      <c r="AX359" s="49"/>
      <c r="AY359" s="49"/>
      <c r="AZ359" s="73">
        <f t="shared" si="97"/>
        <v>0</v>
      </c>
    </row>
    <row r="360" spans="1:52" ht="20.100000000000001" customHeight="1">
      <c r="A360" s="68"/>
      <c r="B360" s="69"/>
      <c r="C360" s="240" t="s">
        <v>536</v>
      </c>
      <c r="D360" s="240"/>
      <c r="E360" s="241"/>
      <c r="F360" s="70"/>
      <c r="G360" s="71"/>
      <c r="H360" s="71"/>
      <c r="I360" s="71"/>
      <c r="J360" s="240" t="s">
        <v>391</v>
      </c>
      <c r="K360" s="241"/>
      <c r="L360" s="49">
        <v>71052000</v>
      </c>
      <c r="M360" s="49">
        <f t="shared" si="96"/>
        <v>71052000</v>
      </c>
      <c r="N360" s="49"/>
      <c r="O360" s="49"/>
      <c r="P360" s="49"/>
      <c r="Q360" s="49">
        <f>SUM(N360:P360)</f>
        <v>0</v>
      </c>
      <c r="R360" s="72">
        <f>Q360/M360*100</f>
        <v>0</v>
      </c>
      <c r="S360" s="49">
        <f>M360-Q360</f>
        <v>71052000</v>
      </c>
      <c r="T360" s="49">
        <v>0</v>
      </c>
      <c r="U360" s="49">
        <f>T360+M360</f>
        <v>71052000</v>
      </c>
      <c r="V360" s="49">
        <f>T360+S360</f>
        <v>71052000</v>
      </c>
      <c r="W360" s="49"/>
      <c r="X360" s="49"/>
      <c r="Y360" s="49"/>
      <c r="Z360" s="49">
        <v>70661000</v>
      </c>
      <c r="AA360" s="49">
        <v>0</v>
      </c>
      <c r="AB360" s="49">
        <v>71052000</v>
      </c>
      <c r="AC360" s="49">
        <f t="shared" si="88"/>
        <v>0</v>
      </c>
      <c r="AD360" s="49">
        <f t="shared" si="94"/>
        <v>71052000</v>
      </c>
      <c r="AE360" s="49"/>
      <c r="AF360" s="49"/>
      <c r="AG360" s="49"/>
      <c r="AH360" s="49"/>
      <c r="AI360" s="49"/>
      <c r="AJ360" s="49"/>
      <c r="AK360" s="49">
        <f>Z360+Y360+X360+W360+N360+AG360+AJ360+AI360+AH360</f>
        <v>70661000</v>
      </c>
      <c r="AL360" s="49">
        <f>AK360/AD360*100</f>
        <v>99.449698812137584</v>
      </c>
      <c r="AM360" s="49"/>
      <c r="AN360" s="49"/>
      <c r="AO360" s="49"/>
      <c r="AP360" s="49"/>
      <c r="AQ360" s="49">
        <f>AK360+AM360+AN360+AO360+AP360</f>
        <v>70661000</v>
      </c>
      <c r="AR360" s="49">
        <f>AQ360/AB360*100</f>
        <v>99.449698812137584</v>
      </c>
      <c r="AS360" s="49">
        <f t="shared" si="98"/>
        <v>391000</v>
      </c>
      <c r="AT360" s="49">
        <v>3091500</v>
      </c>
      <c r="AU360" s="49">
        <f>AT360+U360</f>
        <v>74143500</v>
      </c>
      <c r="AV360" s="49">
        <f>AK360</f>
        <v>70661000</v>
      </c>
      <c r="AW360" s="72">
        <f>AV360/AU360*100</f>
        <v>95.303027237721452</v>
      </c>
      <c r="AX360" s="49">
        <f>AU360-AV360</f>
        <v>3482500</v>
      </c>
      <c r="AY360" s="49">
        <f t="shared" si="95"/>
        <v>0.55030118786241067</v>
      </c>
      <c r="AZ360" s="73">
        <f t="shared" si="97"/>
        <v>70661000</v>
      </c>
    </row>
    <row r="361" spans="1:52" ht="20.100000000000001" customHeight="1">
      <c r="A361" s="68"/>
      <c r="B361" s="69"/>
      <c r="C361" s="240" t="s">
        <v>537</v>
      </c>
      <c r="D361" s="240"/>
      <c r="E361" s="241"/>
      <c r="F361" s="70"/>
      <c r="G361" s="71"/>
      <c r="H361" s="71"/>
      <c r="I361" s="240" t="s">
        <v>163</v>
      </c>
      <c r="J361" s="240"/>
      <c r="K361" s="241"/>
      <c r="L361" s="49"/>
      <c r="M361" s="49"/>
      <c r="N361" s="49"/>
      <c r="O361" s="49"/>
      <c r="P361" s="49"/>
      <c r="Q361" s="49"/>
      <c r="R361" s="72"/>
      <c r="S361" s="49"/>
      <c r="T361" s="49"/>
      <c r="U361" s="49"/>
      <c r="V361" s="49"/>
      <c r="W361" s="49"/>
      <c r="X361" s="49"/>
      <c r="Y361" s="49"/>
      <c r="Z361" s="49"/>
      <c r="AA361" s="49"/>
      <c r="AB361" s="49"/>
      <c r="AC361" s="49">
        <f t="shared" si="88"/>
        <v>0</v>
      </c>
      <c r="AD361" s="49"/>
      <c r="AE361" s="49"/>
      <c r="AF361" s="49"/>
      <c r="AG361" s="49"/>
      <c r="AH361" s="49"/>
      <c r="AI361" s="49"/>
      <c r="AJ361" s="49"/>
      <c r="AK361" s="49"/>
      <c r="AL361" s="49"/>
      <c r="AM361" s="49"/>
      <c r="AN361" s="49"/>
      <c r="AO361" s="49"/>
      <c r="AP361" s="49"/>
      <c r="AQ361" s="49"/>
      <c r="AR361" s="49"/>
      <c r="AS361" s="49"/>
      <c r="AT361" s="49"/>
      <c r="AU361" s="49"/>
      <c r="AV361" s="49"/>
      <c r="AW361" s="49"/>
      <c r="AX361" s="49"/>
      <c r="AY361" s="49"/>
      <c r="AZ361" s="73">
        <f t="shared" si="97"/>
        <v>0</v>
      </c>
    </row>
    <row r="362" spans="1:52" ht="20.100000000000001" customHeight="1">
      <c r="A362" s="68"/>
      <c r="B362" s="69"/>
      <c r="C362" s="240" t="s">
        <v>538</v>
      </c>
      <c r="D362" s="240"/>
      <c r="E362" s="241"/>
      <c r="F362" s="70"/>
      <c r="G362" s="71"/>
      <c r="H362" s="71"/>
      <c r="I362" s="71"/>
      <c r="J362" s="240" t="s">
        <v>349</v>
      </c>
      <c r="K362" s="241"/>
      <c r="L362" s="49">
        <v>682500</v>
      </c>
      <c r="M362" s="49">
        <f t="shared" si="96"/>
        <v>682500</v>
      </c>
      <c r="N362" s="49"/>
      <c r="O362" s="49"/>
      <c r="P362" s="49"/>
      <c r="Q362" s="49">
        <f>SUM(N362:P362)</f>
        <v>0</v>
      </c>
      <c r="R362" s="72">
        <f>Q362/M362*100</f>
        <v>0</v>
      </c>
      <c r="S362" s="49">
        <f>M362-Q362</f>
        <v>682500</v>
      </c>
      <c r="T362" s="49">
        <v>0</v>
      </c>
      <c r="U362" s="49">
        <f t="shared" ref="U362:U368" si="99">T362+M362</f>
        <v>682500</v>
      </c>
      <c r="V362" s="49">
        <f t="shared" ref="V362:V368" si="100">T362+S362</f>
        <v>682500</v>
      </c>
      <c r="W362" s="49"/>
      <c r="X362" s="49"/>
      <c r="Y362" s="49"/>
      <c r="Z362" s="49">
        <v>682500</v>
      </c>
      <c r="AA362" s="49">
        <v>0</v>
      </c>
      <c r="AB362" s="49">
        <v>682500</v>
      </c>
      <c r="AC362" s="49">
        <f t="shared" si="88"/>
        <v>0</v>
      </c>
      <c r="AD362" s="49">
        <f t="shared" ref="AD362:AD368" si="101">AA362+T362+M362</f>
        <v>682500</v>
      </c>
      <c r="AE362" s="49"/>
      <c r="AF362" s="49"/>
      <c r="AG362" s="49"/>
      <c r="AH362" s="49"/>
      <c r="AI362" s="49"/>
      <c r="AJ362" s="49"/>
      <c r="AK362" s="49">
        <f>Z362+Y362+X362+W362+N362+AG362+AJ362+AI362+AH362</f>
        <v>682500</v>
      </c>
      <c r="AL362" s="49">
        <f>AK362/AD362*100</f>
        <v>100</v>
      </c>
      <c r="AM362" s="49"/>
      <c r="AN362" s="49"/>
      <c r="AO362" s="49"/>
      <c r="AP362" s="49"/>
      <c r="AQ362" s="49">
        <f>AK362+AM362+AN362+AO362+AP362</f>
        <v>682500</v>
      </c>
      <c r="AR362" s="49">
        <f>AQ362/AB362*100</f>
        <v>100</v>
      </c>
      <c r="AS362" s="49">
        <f t="shared" si="98"/>
        <v>0</v>
      </c>
      <c r="AT362" s="49">
        <v>3091500</v>
      </c>
      <c r="AU362" s="49">
        <f>AT362+U362</f>
        <v>3774000</v>
      </c>
      <c r="AV362" s="49">
        <f>AK362</f>
        <v>682500</v>
      </c>
      <c r="AW362" s="72">
        <f>AV362/AU362*100</f>
        <v>18.084260731319553</v>
      </c>
      <c r="AX362" s="49">
        <f>AU362-AV362</f>
        <v>3091500</v>
      </c>
      <c r="AY362" s="49">
        <f t="shared" si="95"/>
        <v>0</v>
      </c>
      <c r="AZ362" s="73">
        <f t="shared" si="97"/>
        <v>682500</v>
      </c>
    </row>
    <row r="363" spans="1:52" ht="20.100000000000001" customHeight="1">
      <c r="A363" s="68"/>
      <c r="B363" s="69"/>
      <c r="C363" s="240" t="s">
        <v>539</v>
      </c>
      <c r="D363" s="240"/>
      <c r="E363" s="241"/>
      <c r="F363" s="70"/>
      <c r="G363" s="71"/>
      <c r="H363" s="71"/>
      <c r="I363" s="71"/>
      <c r="J363" s="240" t="s">
        <v>352</v>
      </c>
      <c r="K363" s="241"/>
      <c r="L363" s="49">
        <v>92300000</v>
      </c>
      <c r="M363" s="49">
        <f t="shared" si="96"/>
        <v>92300000</v>
      </c>
      <c r="N363" s="49"/>
      <c r="O363" s="49"/>
      <c r="P363" s="49"/>
      <c r="Q363" s="49">
        <f>SUM(N363:P363)</f>
        <v>0</v>
      </c>
      <c r="R363" s="72">
        <f>Q363/M363*100</f>
        <v>0</v>
      </c>
      <c r="S363" s="49">
        <f>M363-Q363</f>
        <v>92300000</v>
      </c>
      <c r="T363" s="49">
        <v>0</v>
      </c>
      <c r="U363" s="49">
        <f t="shared" si="99"/>
        <v>92300000</v>
      </c>
      <c r="V363" s="49">
        <f t="shared" si="100"/>
        <v>92300000</v>
      </c>
      <c r="W363" s="49"/>
      <c r="X363" s="49"/>
      <c r="Y363" s="49"/>
      <c r="Z363" s="49">
        <v>89500000</v>
      </c>
      <c r="AA363" s="49">
        <v>0</v>
      </c>
      <c r="AB363" s="49">
        <v>92300000</v>
      </c>
      <c r="AC363" s="49">
        <f t="shared" si="88"/>
        <v>0</v>
      </c>
      <c r="AD363" s="49">
        <f t="shared" si="101"/>
        <v>92300000</v>
      </c>
      <c r="AE363" s="49"/>
      <c r="AF363" s="49"/>
      <c r="AG363" s="49"/>
      <c r="AH363" s="49"/>
      <c r="AI363" s="49"/>
      <c r="AJ363" s="49"/>
      <c r="AK363" s="49">
        <f>Z363+Y363+X363+W363+N363+AG363+AJ363+AI363+AH363</f>
        <v>89500000</v>
      </c>
      <c r="AL363" s="49">
        <f>AK363/AD363*100</f>
        <v>96.966413867822325</v>
      </c>
      <c r="AM363" s="49"/>
      <c r="AN363" s="49"/>
      <c r="AO363" s="49"/>
      <c r="AP363" s="49"/>
      <c r="AQ363" s="49">
        <f>AK363+AM363+AN363+AO363+AP363</f>
        <v>89500000</v>
      </c>
      <c r="AR363" s="49">
        <f>AQ363/AB363*100</f>
        <v>96.966413867822325</v>
      </c>
      <c r="AS363" s="49">
        <f t="shared" si="98"/>
        <v>2800000</v>
      </c>
      <c r="AT363" s="49">
        <v>3091500</v>
      </c>
      <c r="AU363" s="49">
        <f>AT363+U363</f>
        <v>95391500</v>
      </c>
      <c r="AV363" s="49">
        <f>AK363</f>
        <v>89500000</v>
      </c>
      <c r="AW363" s="72">
        <f>AV363/AU363*100</f>
        <v>93.823873196249139</v>
      </c>
      <c r="AX363" s="49">
        <f>AU363-AV363</f>
        <v>5891500</v>
      </c>
      <c r="AY363" s="49">
        <f t="shared" si="95"/>
        <v>3.0335861321776814</v>
      </c>
      <c r="AZ363" s="73">
        <f t="shared" si="97"/>
        <v>89500000</v>
      </c>
    </row>
    <row r="364" spans="1:52" ht="20.100000000000001" customHeight="1">
      <c r="A364" s="68"/>
      <c r="B364" s="69"/>
      <c r="C364" s="240" t="s">
        <v>540</v>
      </c>
      <c r="D364" s="240"/>
      <c r="E364" s="241"/>
      <c r="F364" s="70"/>
      <c r="G364" s="71"/>
      <c r="H364" s="71"/>
      <c r="I364" s="240" t="s">
        <v>151</v>
      </c>
      <c r="J364" s="240"/>
      <c r="K364" s="241"/>
      <c r="L364" s="49"/>
      <c r="M364" s="49"/>
      <c r="N364" s="49"/>
      <c r="O364" s="49"/>
      <c r="P364" s="49"/>
      <c r="Q364" s="49"/>
      <c r="R364" s="72"/>
      <c r="S364" s="49"/>
      <c r="T364" s="49"/>
      <c r="U364" s="49"/>
      <c r="V364" s="49"/>
      <c r="W364" s="49"/>
      <c r="X364" s="49"/>
      <c r="Y364" s="49"/>
      <c r="Z364" s="49"/>
      <c r="AA364" s="49"/>
      <c r="AB364" s="49"/>
      <c r="AC364" s="49">
        <f t="shared" si="88"/>
        <v>0</v>
      </c>
      <c r="AD364" s="49"/>
      <c r="AE364" s="49"/>
      <c r="AF364" s="49"/>
      <c r="AG364" s="49"/>
      <c r="AH364" s="49"/>
      <c r="AI364" s="49"/>
      <c r="AJ364" s="49"/>
      <c r="AK364" s="49"/>
      <c r="AL364" s="49"/>
      <c r="AM364" s="49"/>
      <c r="AN364" s="49"/>
      <c r="AO364" s="49"/>
      <c r="AP364" s="49"/>
      <c r="AQ364" s="49"/>
      <c r="AR364" s="49"/>
      <c r="AS364" s="49"/>
      <c r="AT364" s="49"/>
      <c r="AU364" s="49"/>
      <c r="AV364" s="49"/>
      <c r="AW364" s="49"/>
      <c r="AX364" s="49"/>
      <c r="AY364" s="49"/>
      <c r="AZ364" s="73">
        <f t="shared" si="97"/>
        <v>0</v>
      </c>
    </row>
    <row r="365" spans="1:52" ht="20.100000000000001" customHeight="1">
      <c r="A365" s="68"/>
      <c r="B365" s="69"/>
      <c r="C365" s="240" t="s">
        <v>541</v>
      </c>
      <c r="D365" s="240"/>
      <c r="E365" s="241"/>
      <c r="F365" s="70"/>
      <c r="G365" s="71"/>
      <c r="H365" s="71"/>
      <c r="I365" s="71"/>
      <c r="J365" s="240" t="s">
        <v>153</v>
      </c>
      <c r="K365" s="241"/>
      <c r="L365" s="49">
        <v>1400000</v>
      </c>
      <c r="M365" s="49">
        <f t="shared" si="96"/>
        <v>1400000</v>
      </c>
      <c r="N365" s="49"/>
      <c r="O365" s="49"/>
      <c r="P365" s="49"/>
      <c r="Q365" s="49">
        <f>SUM(N365:P365)</f>
        <v>0</v>
      </c>
      <c r="R365" s="72">
        <f>Q365/M365*100</f>
        <v>0</v>
      </c>
      <c r="S365" s="49">
        <f>M365-Q365</f>
        <v>1400000</v>
      </c>
      <c r="T365" s="49">
        <v>0</v>
      </c>
      <c r="U365" s="49">
        <f t="shared" si="99"/>
        <v>1400000</v>
      </c>
      <c r="V365" s="49">
        <f t="shared" si="100"/>
        <v>1400000</v>
      </c>
      <c r="W365" s="49"/>
      <c r="X365" s="49"/>
      <c r="Y365" s="49"/>
      <c r="Z365" s="49">
        <v>1400000</v>
      </c>
      <c r="AA365" s="49">
        <v>0</v>
      </c>
      <c r="AB365" s="49">
        <v>1400000</v>
      </c>
      <c r="AC365" s="49">
        <f t="shared" si="88"/>
        <v>0</v>
      </c>
      <c r="AD365" s="49">
        <f t="shared" si="101"/>
        <v>1400000</v>
      </c>
      <c r="AE365" s="49"/>
      <c r="AF365" s="49"/>
      <c r="AG365" s="49"/>
      <c r="AH365" s="49"/>
      <c r="AI365" s="49"/>
      <c r="AJ365" s="49"/>
      <c r="AK365" s="49">
        <f>Z365+Y365+X365+W365+N365+AG365+AJ365+AI365+AH365</f>
        <v>1400000</v>
      </c>
      <c r="AL365" s="49">
        <f>AK365/AD365*100</f>
        <v>100</v>
      </c>
      <c r="AM365" s="49"/>
      <c r="AN365" s="49"/>
      <c r="AO365" s="49"/>
      <c r="AP365" s="49"/>
      <c r="AQ365" s="49">
        <f>AK365+AM365+AN365+AO365+AP365</f>
        <v>1400000</v>
      </c>
      <c r="AR365" s="49">
        <f>AQ365/AB365*100</f>
        <v>100</v>
      </c>
      <c r="AS365" s="49">
        <f t="shared" si="98"/>
        <v>0</v>
      </c>
      <c r="AT365" s="49">
        <v>3091500</v>
      </c>
      <c r="AU365" s="49">
        <f>AT365+U365</f>
        <v>4491500</v>
      </c>
      <c r="AV365" s="49">
        <f>AK365</f>
        <v>1400000</v>
      </c>
      <c r="AW365" s="72">
        <f>AV365/AU365*100</f>
        <v>31.169987754647664</v>
      </c>
      <c r="AX365" s="49">
        <f>AU365-AV365</f>
        <v>3091500</v>
      </c>
      <c r="AY365" s="49">
        <f t="shared" si="95"/>
        <v>0</v>
      </c>
      <c r="AZ365" s="73">
        <f t="shared" si="97"/>
        <v>1400000</v>
      </c>
    </row>
    <row r="366" spans="1:52" ht="20.100000000000001" customHeight="1">
      <c r="A366" s="68"/>
      <c r="B366" s="69"/>
      <c r="C366" s="240" t="s">
        <v>542</v>
      </c>
      <c r="D366" s="240"/>
      <c r="E366" s="241"/>
      <c r="F366" s="70"/>
      <c r="G366" s="71"/>
      <c r="H366" s="71"/>
      <c r="I366" s="71"/>
      <c r="J366" s="240" t="s">
        <v>155</v>
      </c>
      <c r="K366" s="241"/>
      <c r="L366" s="49">
        <v>2222000</v>
      </c>
      <c r="M366" s="49">
        <f t="shared" si="96"/>
        <v>2222000</v>
      </c>
      <c r="N366" s="49"/>
      <c r="O366" s="49"/>
      <c r="P366" s="49"/>
      <c r="Q366" s="49">
        <f>SUM(N366:P366)</f>
        <v>0</v>
      </c>
      <c r="R366" s="72">
        <f>Q366/M366*100</f>
        <v>0</v>
      </c>
      <c r="S366" s="49">
        <f>M366-Q366</f>
        <v>2222000</v>
      </c>
      <c r="T366" s="49">
        <v>0</v>
      </c>
      <c r="U366" s="49">
        <f t="shared" si="99"/>
        <v>2222000</v>
      </c>
      <c r="V366" s="49">
        <f t="shared" si="100"/>
        <v>2222000</v>
      </c>
      <c r="W366" s="49"/>
      <c r="X366" s="49"/>
      <c r="Y366" s="49"/>
      <c r="Z366" s="49">
        <v>2221975</v>
      </c>
      <c r="AA366" s="49">
        <v>0</v>
      </c>
      <c r="AB366" s="49">
        <v>2222000</v>
      </c>
      <c r="AC366" s="49">
        <f t="shared" si="88"/>
        <v>0</v>
      </c>
      <c r="AD366" s="49">
        <f t="shared" si="101"/>
        <v>2222000</v>
      </c>
      <c r="AE366" s="49"/>
      <c r="AF366" s="49"/>
      <c r="AG366" s="49"/>
      <c r="AH366" s="49"/>
      <c r="AI366" s="49"/>
      <c r="AJ366" s="49"/>
      <c r="AK366" s="49">
        <f>Z366+Y366+X366+W366+N366+AG366+AJ366+AI366+AH366</f>
        <v>2221975</v>
      </c>
      <c r="AL366" s="49">
        <f>AK366/AD366*100</f>
        <v>99.998874887488753</v>
      </c>
      <c r="AM366" s="49"/>
      <c r="AN366" s="49"/>
      <c r="AO366" s="49"/>
      <c r="AP366" s="49"/>
      <c r="AQ366" s="49">
        <f>AK366+AM366+AN366+AO366+AP366</f>
        <v>2221975</v>
      </c>
      <c r="AR366" s="49">
        <f>AQ366/AB366*100</f>
        <v>99.998874887488753</v>
      </c>
      <c r="AS366" s="49">
        <f t="shared" si="98"/>
        <v>25</v>
      </c>
      <c r="AT366" s="49">
        <v>3091500</v>
      </c>
      <c r="AU366" s="49">
        <f>AT366+U366</f>
        <v>5313500</v>
      </c>
      <c r="AV366" s="49">
        <f>AK366</f>
        <v>2221975</v>
      </c>
      <c r="AW366" s="72">
        <f>AV366/AU366*100</f>
        <v>41.817540227721835</v>
      </c>
      <c r="AX366" s="49">
        <f>AU366-AV366</f>
        <v>3091525</v>
      </c>
      <c r="AY366" s="49">
        <f t="shared" si="95"/>
        <v>1.1251125112511251E-3</v>
      </c>
      <c r="AZ366" s="73">
        <f t="shared" si="97"/>
        <v>2221975</v>
      </c>
    </row>
    <row r="367" spans="1:52" ht="20.100000000000001" customHeight="1">
      <c r="A367" s="68"/>
      <c r="B367" s="69"/>
      <c r="C367" s="240" t="s">
        <v>543</v>
      </c>
      <c r="D367" s="240"/>
      <c r="E367" s="241"/>
      <c r="F367" s="70"/>
      <c r="G367" s="71"/>
      <c r="H367" s="71"/>
      <c r="I367" s="240" t="s">
        <v>193</v>
      </c>
      <c r="J367" s="240"/>
      <c r="K367" s="241"/>
      <c r="L367" s="49"/>
      <c r="M367" s="49">
        <f t="shared" si="96"/>
        <v>0</v>
      </c>
      <c r="N367" s="49"/>
      <c r="O367" s="49"/>
      <c r="P367" s="49"/>
      <c r="Q367" s="49"/>
      <c r="R367" s="72"/>
      <c r="S367" s="49"/>
      <c r="T367" s="49">
        <v>0</v>
      </c>
      <c r="U367" s="49">
        <f t="shared" si="99"/>
        <v>0</v>
      </c>
      <c r="V367" s="49">
        <f t="shared" si="100"/>
        <v>0</v>
      </c>
      <c r="W367" s="49"/>
      <c r="X367" s="49"/>
      <c r="Y367" s="49"/>
      <c r="Z367" s="49"/>
      <c r="AA367" s="49">
        <v>0</v>
      </c>
      <c r="AB367" s="49"/>
      <c r="AC367" s="49">
        <f t="shared" si="88"/>
        <v>0</v>
      </c>
      <c r="AD367" s="49"/>
      <c r="AE367" s="49"/>
      <c r="AF367" s="49"/>
      <c r="AG367" s="49"/>
      <c r="AH367" s="49"/>
      <c r="AI367" s="49"/>
      <c r="AJ367" s="49"/>
      <c r="AK367" s="49"/>
      <c r="AL367" s="49"/>
      <c r="AM367" s="49"/>
      <c r="AN367" s="49"/>
      <c r="AO367" s="49"/>
      <c r="AP367" s="49"/>
      <c r="AQ367" s="49"/>
      <c r="AR367" s="49"/>
      <c r="AS367" s="49"/>
      <c r="AT367" s="49"/>
      <c r="AU367" s="49"/>
      <c r="AV367" s="49"/>
      <c r="AW367" s="49"/>
      <c r="AX367" s="49"/>
      <c r="AY367" s="49"/>
      <c r="AZ367" s="73">
        <f t="shared" si="97"/>
        <v>0</v>
      </c>
    </row>
    <row r="368" spans="1:52" ht="20.100000000000001" customHeight="1">
      <c r="A368" s="68"/>
      <c r="B368" s="69"/>
      <c r="C368" s="240" t="s">
        <v>544</v>
      </c>
      <c r="D368" s="240"/>
      <c r="E368" s="241"/>
      <c r="F368" s="70"/>
      <c r="G368" s="71"/>
      <c r="H368" s="71"/>
      <c r="I368" s="71"/>
      <c r="J368" s="240" t="s">
        <v>195</v>
      </c>
      <c r="K368" s="241"/>
      <c r="L368" s="49">
        <v>61468000</v>
      </c>
      <c r="M368" s="49">
        <f t="shared" si="96"/>
        <v>61468000</v>
      </c>
      <c r="N368" s="49"/>
      <c r="O368" s="49"/>
      <c r="P368" s="49"/>
      <c r="Q368" s="49">
        <f>SUM(N368:P368)</f>
        <v>0</v>
      </c>
      <c r="R368" s="72">
        <f>Q368/M368*100</f>
        <v>0</v>
      </c>
      <c r="S368" s="49">
        <f>M368-Q368</f>
        <v>61468000</v>
      </c>
      <c r="T368" s="49">
        <v>0</v>
      </c>
      <c r="U368" s="49">
        <f t="shared" si="99"/>
        <v>61468000</v>
      </c>
      <c r="V368" s="49">
        <f t="shared" si="100"/>
        <v>61468000</v>
      </c>
      <c r="W368" s="49"/>
      <c r="X368" s="49"/>
      <c r="Y368" s="49"/>
      <c r="Z368" s="49">
        <v>61467500</v>
      </c>
      <c r="AA368" s="49">
        <v>0</v>
      </c>
      <c r="AB368" s="49">
        <v>61468000</v>
      </c>
      <c r="AC368" s="49">
        <f t="shared" si="88"/>
        <v>0</v>
      </c>
      <c r="AD368" s="49">
        <f t="shared" si="101"/>
        <v>61468000</v>
      </c>
      <c r="AE368" s="49"/>
      <c r="AF368" s="49"/>
      <c r="AG368" s="49"/>
      <c r="AH368" s="49"/>
      <c r="AI368" s="49"/>
      <c r="AJ368" s="49"/>
      <c r="AK368" s="49">
        <f>Z368+Y368+X368+W368+N368+AG368+AJ368+AI368+AH368</f>
        <v>61467500</v>
      </c>
      <c r="AL368" s="49">
        <f>AK368/AD368*100</f>
        <v>99.99918656862107</v>
      </c>
      <c r="AM368" s="49"/>
      <c r="AN368" s="49"/>
      <c r="AO368" s="49"/>
      <c r="AP368" s="49"/>
      <c r="AQ368" s="49">
        <f>AK368+AM368+AN368+AO368+AP368</f>
        <v>61467500</v>
      </c>
      <c r="AR368" s="49">
        <f>AQ368/AB368*100</f>
        <v>99.99918656862107</v>
      </c>
      <c r="AS368" s="49">
        <f t="shared" si="98"/>
        <v>500</v>
      </c>
      <c r="AT368" s="49">
        <v>3091500</v>
      </c>
      <c r="AU368" s="49">
        <f>AT368+U368</f>
        <v>64559500</v>
      </c>
      <c r="AV368" s="49">
        <f>AK368</f>
        <v>61467500</v>
      </c>
      <c r="AW368" s="72">
        <f>AV368/AU368*100</f>
        <v>95.210619660932934</v>
      </c>
      <c r="AX368" s="49">
        <f>AU368-AV368</f>
        <v>3092000</v>
      </c>
      <c r="AY368" s="49">
        <f t="shared" si="95"/>
        <v>8.1343137892887362E-4</v>
      </c>
      <c r="AZ368" s="73">
        <f t="shared" si="97"/>
        <v>61467500</v>
      </c>
    </row>
    <row r="369" spans="1:53" ht="20.100000000000001" customHeight="1">
      <c r="A369" s="68"/>
      <c r="B369" s="69"/>
      <c r="C369" s="240" t="s">
        <v>545</v>
      </c>
      <c r="D369" s="240"/>
      <c r="E369" s="241"/>
      <c r="F369" s="70"/>
      <c r="G369" s="71"/>
      <c r="H369" s="71"/>
      <c r="I369" s="240" t="s">
        <v>157</v>
      </c>
      <c r="J369" s="240"/>
      <c r="K369" s="241"/>
      <c r="L369" s="49"/>
      <c r="M369" s="49">
        <f t="shared" si="96"/>
        <v>0</v>
      </c>
      <c r="N369" s="49"/>
      <c r="O369" s="49"/>
      <c r="P369" s="49"/>
      <c r="Q369" s="49"/>
      <c r="R369" s="72"/>
      <c r="S369" s="49"/>
      <c r="T369" s="49"/>
      <c r="U369" s="49"/>
      <c r="V369" s="49"/>
      <c r="W369" s="49"/>
      <c r="X369" s="49"/>
      <c r="Y369" s="49"/>
      <c r="Z369" s="49"/>
      <c r="AA369" s="49"/>
      <c r="AB369" s="49"/>
      <c r="AC369" s="49">
        <f t="shared" ref="AC369:AC435" si="102">AB369-L369</f>
        <v>0</v>
      </c>
      <c r="AD369" s="49"/>
      <c r="AE369" s="49"/>
      <c r="AF369" s="49"/>
      <c r="AG369" s="49"/>
      <c r="AH369" s="49"/>
      <c r="AI369" s="49"/>
      <c r="AJ369" s="49"/>
      <c r="AK369" s="49"/>
      <c r="AL369" s="49"/>
      <c r="AM369" s="49"/>
      <c r="AN369" s="49"/>
      <c r="AO369" s="49"/>
      <c r="AP369" s="49"/>
      <c r="AQ369" s="49"/>
      <c r="AR369" s="49"/>
      <c r="AS369" s="49"/>
      <c r="AT369" s="49"/>
      <c r="AU369" s="49"/>
      <c r="AV369" s="49"/>
      <c r="AW369" s="49"/>
      <c r="AX369" s="49"/>
      <c r="AY369" s="49"/>
      <c r="AZ369" s="73">
        <f t="shared" si="97"/>
        <v>0</v>
      </c>
    </row>
    <row r="370" spans="1:53" ht="20.100000000000001" customHeight="1">
      <c r="A370" s="68"/>
      <c r="B370" s="69"/>
      <c r="C370" s="240" t="s">
        <v>546</v>
      </c>
      <c r="D370" s="240"/>
      <c r="E370" s="241"/>
      <c r="F370" s="70"/>
      <c r="G370" s="71"/>
      <c r="H370" s="71"/>
      <c r="I370" s="71"/>
      <c r="J370" s="240" t="s">
        <v>159</v>
      </c>
      <c r="K370" s="241"/>
      <c r="L370" s="49">
        <v>24120000</v>
      </c>
      <c r="M370" s="49">
        <f t="shared" si="96"/>
        <v>24120000</v>
      </c>
      <c r="N370" s="49"/>
      <c r="O370" s="49"/>
      <c r="P370" s="49"/>
      <c r="Q370" s="49">
        <f>SUM(N370:P370)</f>
        <v>0</v>
      </c>
      <c r="R370" s="72">
        <f>Q370/M370*100</f>
        <v>0</v>
      </c>
      <c r="S370" s="49">
        <f>M370-Q370</f>
        <v>24120000</v>
      </c>
      <c r="T370" s="49">
        <v>0</v>
      </c>
      <c r="U370" s="49">
        <f>T370+M370</f>
        <v>24120000</v>
      </c>
      <c r="V370" s="49">
        <f>T370+S370</f>
        <v>24120000</v>
      </c>
      <c r="W370" s="49"/>
      <c r="X370" s="49"/>
      <c r="Y370" s="49"/>
      <c r="Z370" s="49">
        <f>22660000+1440000</f>
        <v>24100000</v>
      </c>
      <c r="AA370" s="49">
        <v>0</v>
      </c>
      <c r="AB370" s="49">
        <v>24120000</v>
      </c>
      <c r="AC370" s="49">
        <f t="shared" si="102"/>
        <v>0</v>
      </c>
      <c r="AD370" s="49">
        <f>AA370+T370+M370</f>
        <v>24120000</v>
      </c>
      <c r="AE370" s="49"/>
      <c r="AF370" s="49"/>
      <c r="AG370" s="49"/>
      <c r="AH370" s="49"/>
      <c r="AI370" s="49"/>
      <c r="AJ370" s="49"/>
      <c r="AK370" s="49">
        <f>Z370+Y370+X370+W370+N370+AG370+AJ370+AI370+AH370</f>
        <v>24100000</v>
      </c>
      <c r="AL370" s="49">
        <f>AK370/AD370*100</f>
        <v>99.917081260364839</v>
      </c>
      <c r="AM370" s="49"/>
      <c r="AN370" s="49"/>
      <c r="AO370" s="49"/>
      <c r="AP370" s="49"/>
      <c r="AQ370" s="49">
        <f>AK370+AM370+AN370+AO370+AP370</f>
        <v>24100000</v>
      </c>
      <c r="AR370" s="49">
        <f>AQ370/AB370*100</f>
        <v>99.917081260364839</v>
      </c>
      <c r="AS370" s="49">
        <f t="shared" si="98"/>
        <v>20000</v>
      </c>
      <c r="AT370" s="49">
        <v>3091500</v>
      </c>
      <c r="AU370" s="49">
        <f>AT370+U370</f>
        <v>27211500</v>
      </c>
      <c r="AV370" s="49">
        <f>AK370</f>
        <v>24100000</v>
      </c>
      <c r="AW370" s="72">
        <f>AV370/AU370*100</f>
        <v>88.565496205648344</v>
      </c>
      <c r="AX370" s="49">
        <f>AU370-AV370</f>
        <v>3111500</v>
      </c>
      <c r="AY370" s="49">
        <f t="shared" si="95"/>
        <v>8.2918739635157543E-2</v>
      </c>
      <c r="AZ370" s="73">
        <f t="shared" si="97"/>
        <v>24100000</v>
      </c>
    </row>
    <row r="371" spans="1:53" ht="20.100000000000001" customHeight="1">
      <c r="A371" s="68"/>
      <c r="B371" s="69"/>
      <c r="C371" s="240" t="s">
        <v>547</v>
      </c>
      <c r="D371" s="240"/>
      <c r="E371" s="241"/>
      <c r="F371" s="70"/>
      <c r="G371" s="71"/>
      <c r="H371" s="71"/>
      <c r="I371" s="71"/>
      <c r="J371" s="240" t="s">
        <v>207</v>
      </c>
      <c r="K371" s="241"/>
      <c r="L371" s="49">
        <v>3482500</v>
      </c>
      <c r="M371" s="49">
        <f t="shared" si="96"/>
        <v>3482500</v>
      </c>
      <c r="N371" s="49"/>
      <c r="O371" s="49"/>
      <c r="P371" s="49"/>
      <c r="Q371" s="49">
        <f>SUM(N371:P371)</f>
        <v>0</v>
      </c>
      <c r="R371" s="72">
        <f>Q371/M371*100</f>
        <v>0</v>
      </c>
      <c r="S371" s="49">
        <f>M371-Q371</f>
        <v>3482500</v>
      </c>
      <c r="T371" s="49">
        <v>0</v>
      </c>
      <c r="U371" s="49">
        <f>T371+M371</f>
        <v>3482500</v>
      </c>
      <c r="V371" s="49">
        <f>T371+S371</f>
        <v>3482500</v>
      </c>
      <c r="W371" s="49"/>
      <c r="X371" s="49"/>
      <c r="Y371" s="49"/>
      <c r="Z371" s="49">
        <v>3460000</v>
      </c>
      <c r="AA371" s="49">
        <v>0</v>
      </c>
      <c r="AB371" s="49">
        <v>3482500</v>
      </c>
      <c r="AC371" s="49">
        <f t="shared" si="102"/>
        <v>0</v>
      </c>
      <c r="AD371" s="49">
        <f>AA371+T371+M371</f>
        <v>3482500</v>
      </c>
      <c r="AE371" s="49"/>
      <c r="AF371" s="49"/>
      <c r="AG371" s="49"/>
      <c r="AH371" s="49"/>
      <c r="AI371" s="49"/>
      <c r="AJ371" s="49"/>
      <c r="AK371" s="49">
        <f>Z371+Y371+X371+W371+N371+AG371+AJ371+AI371+AH371</f>
        <v>3460000</v>
      </c>
      <c r="AL371" s="49">
        <f>AK371/AD371*100</f>
        <v>99.353912419239052</v>
      </c>
      <c r="AM371" s="49"/>
      <c r="AN371" s="49"/>
      <c r="AO371" s="49"/>
      <c r="AP371" s="49"/>
      <c r="AQ371" s="49">
        <f>AK371+AM371+AN371+AO371+AP371</f>
        <v>3460000</v>
      </c>
      <c r="AR371" s="49">
        <f>AQ371/AB371*100</f>
        <v>99.353912419239052</v>
      </c>
      <c r="AS371" s="49">
        <f t="shared" si="98"/>
        <v>22500</v>
      </c>
      <c r="AT371" s="49">
        <v>3091500</v>
      </c>
      <c r="AU371" s="49">
        <f>AT371+U371</f>
        <v>6574000</v>
      </c>
      <c r="AV371" s="49">
        <f>AK371</f>
        <v>3460000</v>
      </c>
      <c r="AW371" s="72">
        <f>AV371/AU371*100</f>
        <v>52.631578947368418</v>
      </c>
      <c r="AX371" s="49">
        <f>AU371-AV371</f>
        <v>3114000</v>
      </c>
      <c r="AY371" s="49">
        <f t="shared" si="95"/>
        <v>0.64608758076094763</v>
      </c>
      <c r="AZ371" s="73">
        <f t="shared" si="97"/>
        <v>3460000</v>
      </c>
    </row>
    <row r="372" spans="1:53" ht="20.100000000000001" customHeight="1">
      <c r="A372" s="68"/>
      <c r="B372" s="69"/>
      <c r="C372" s="240" t="s">
        <v>548</v>
      </c>
      <c r="D372" s="240"/>
      <c r="E372" s="241"/>
      <c r="F372" s="70"/>
      <c r="G372" s="71"/>
      <c r="H372" s="71"/>
      <c r="I372" s="240" t="s">
        <v>402</v>
      </c>
      <c r="J372" s="240"/>
      <c r="K372" s="241"/>
      <c r="L372" s="49"/>
      <c r="M372" s="49"/>
      <c r="N372" s="49"/>
      <c r="O372" s="49"/>
      <c r="P372" s="49"/>
      <c r="Q372" s="49"/>
      <c r="R372" s="72"/>
      <c r="S372" s="49"/>
      <c r="T372" s="49"/>
      <c r="U372" s="49"/>
      <c r="V372" s="49"/>
      <c r="W372" s="49"/>
      <c r="X372" s="49"/>
      <c r="Y372" s="49"/>
      <c r="Z372" s="49"/>
      <c r="AA372" s="49"/>
      <c r="AB372" s="49"/>
      <c r="AC372" s="49">
        <f t="shared" si="102"/>
        <v>0</v>
      </c>
      <c r="AD372" s="49"/>
      <c r="AE372" s="49"/>
      <c r="AF372" s="49"/>
      <c r="AG372" s="49"/>
      <c r="AH372" s="49"/>
      <c r="AI372" s="49"/>
      <c r="AJ372" s="49"/>
      <c r="AK372" s="49"/>
      <c r="AL372" s="49"/>
      <c r="AM372" s="49"/>
      <c r="AN372" s="49"/>
      <c r="AO372" s="49"/>
      <c r="AP372" s="49"/>
      <c r="AQ372" s="49"/>
      <c r="AR372" s="49"/>
      <c r="AS372" s="49"/>
      <c r="AT372" s="49"/>
      <c r="AU372" s="49"/>
      <c r="AV372" s="49"/>
      <c r="AW372" s="49"/>
      <c r="AX372" s="49"/>
      <c r="AY372" s="49"/>
      <c r="AZ372" s="73">
        <f t="shared" si="97"/>
        <v>0</v>
      </c>
    </row>
    <row r="373" spans="1:53" ht="20.100000000000001" customHeight="1">
      <c r="A373" s="68"/>
      <c r="B373" s="69"/>
      <c r="C373" s="240" t="s">
        <v>549</v>
      </c>
      <c r="D373" s="240"/>
      <c r="E373" s="241"/>
      <c r="F373" s="70"/>
      <c r="G373" s="71"/>
      <c r="H373" s="71"/>
      <c r="I373" s="71"/>
      <c r="J373" s="240" t="s">
        <v>404</v>
      </c>
      <c r="K373" s="241"/>
      <c r="L373" s="49">
        <v>49950000</v>
      </c>
      <c r="M373" s="49">
        <f t="shared" si="96"/>
        <v>49950000</v>
      </c>
      <c r="N373" s="49"/>
      <c r="O373" s="49"/>
      <c r="P373" s="49"/>
      <c r="Q373" s="49">
        <f>SUM(N373:P373)</f>
        <v>0</v>
      </c>
      <c r="R373" s="72">
        <f>Q373/M373*100</f>
        <v>0</v>
      </c>
      <c r="S373" s="49">
        <f>M373-Q373</f>
        <v>49950000</v>
      </c>
      <c r="T373" s="49">
        <v>0</v>
      </c>
      <c r="U373" s="49">
        <f>T373+M373</f>
        <v>49950000</v>
      </c>
      <c r="V373" s="49">
        <f>T373+S373</f>
        <v>49950000</v>
      </c>
      <c r="W373" s="49"/>
      <c r="X373" s="49"/>
      <c r="Y373" s="49"/>
      <c r="Z373" s="49">
        <v>49950000</v>
      </c>
      <c r="AA373" s="49">
        <v>0</v>
      </c>
      <c r="AB373" s="49">
        <v>49950000</v>
      </c>
      <c r="AC373" s="49">
        <f t="shared" si="102"/>
        <v>0</v>
      </c>
      <c r="AD373" s="49">
        <f>AA373+T373+M373</f>
        <v>49950000</v>
      </c>
      <c r="AE373" s="49"/>
      <c r="AF373" s="49"/>
      <c r="AG373" s="49"/>
      <c r="AH373" s="49"/>
      <c r="AI373" s="49"/>
      <c r="AJ373" s="49"/>
      <c r="AK373" s="49">
        <f>Z373+Y373+X373+W373+N373+AG373+AJ373+AI373+AH373</f>
        <v>49950000</v>
      </c>
      <c r="AL373" s="49">
        <f>AK373/AD373*100</f>
        <v>100</v>
      </c>
      <c r="AM373" s="49"/>
      <c r="AN373" s="49"/>
      <c r="AO373" s="49"/>
      <c r="AP373" s="49"/>
      <c r="AQ373" s="49">
        <f>AK373+AM373+AN373+AO373+AP373</f>
        <v>49950000</v>
      </c>
      <c r="AR373" s="49">
        <f>AQ373/AB373*100</f>
        <v>100</v>
      </c>
      <c r="AS373" s="49">
        <f t="shared" si="98"/>
        <v>0</v>
      </c>
      <c r="AT373" s="49">
        <v>3091500</v>
      </c>
      <c r="AU373" s="49">
        <f>AT373+U373</f>
        <v>53041500</v>
      </c>
      <c r="AV373" s="49">
        <f>AK373</f>
        <v>49950000</v>
      </c>
      <c r="AW373" s="72">
        <f>AV373/AU373*100</f>
        <v>94.171544922372107</v>
      </c>
      <c r="AX373" s="49">
        <f>AU373-AV373</f>
        <v>3091500</v>
      </c>
      <c r="AY373" s="49">
        <f t="shared" si="95"/>
        <v>0</v>
      </c>
      <c r="AZ373" s="73">
        <f t="shared" si="97"/>
        <v>49950000</v>
      </c>
    </row>
    <row r="374" spans="1:53" ht="20.100000000000001" customHeight="1">
      <c r="A374" s="62">
        <v>25</v>
      </c>
      <c r="B374" s="63"/>
      <c r="C374" s="242" t="s">
        <v>550</v>
      </c>
      <c r="D374" s="242"/>
      <c r="E374" s="243"/>
      <c r="F374" s="64"/>
      <c r="G374" s="244" t="s">
        <v>551</v>
      </c>
      <c r="H374" s="244"/>
      <c r="I374" s="244"/>
      <c r="J374" s="244"/>
      <c r="K374" s="245"/>
      <c r="L374" s="65">
        <f>SUM(L377:L394)</f>
        <v>120000000</v>
      </c>
      <c r="M374" s="65">
        <f>SUM(M377:M394)</f>
        <v>24120000</v>
      </c>
      <c r="N374" s="65">
        <f>SUM(N377:N394)</f>
        <v>0</v>
      </c>
      <c r="O374" s="65">
        <f>SUM(O377:O394)</f>
        <v>0</v>
      </c>
      <c r="P374" s="65">
        <f>SUM(P377:P394)</f>
        <v>0</v>
      </c>
      <c r="Q374" s="65">
        <f>SUM(N374:P374)</f>
        <v>0</v>
      </c>
      <c r="R374" s="66">
        <f>Q374/M374*100</f>
        <v>0</v>
      </c>
      <c r="S374" s="65">
        <f>M374-Q374</f>
        <v>24120000</v>
      </c>
      <c r="T374" s="65">
        <f>SUM(T377:T394)</f>
        <v>8113000</v>
      </c>
      <c r="U374" s="65">
        <f>T374+M374</f>
        <v>32233000</v>
      </c>
      <c r="V374" s="65">
        <f>T374+S374</f>
        <v>32233000</v>
      </c>
      <c r="W374" s="65">
        <f>SUM(W377:W394)</f>
        <v>0</v>
      </c>
      <c r="X374" s="65">
        <f>SUM(X377:X394)</f>
        <v>20760000</v>
      </c>
      <c r="Y374" s="65">
        <f>SUM(Y377:Y394)</f>
        <v>0</v>
      </c>
      <c r="Z374" s="65"/>
      <c r="AA374" s="65">
        <f>SUM(AA377:AA394)</f>
        <v>87767000</v>
      </c>
      <c r="AB374" s="65">
        <f>SUM(AB377:AB394)</f>
        <v>120000000</v>
      </c>
      <c r="AC374" s="65">
        <f t="shared" si="102"/>
        <v>0</v>
      </c>
      <c r="AD374" s="65">
        <f>AA374+T374+M374</f>
        <v>120000000</v>
      </c>
      <c r="AE374" s="65">
        <f t="shared" ref="AE374:AK374" si="103">SUM(AE377:AE394)</f>
        <v>0</v>
      </c>
      <c r="AF374" s="65">
        <f t="shared" si="103"/>
        <v>47500000</v>
      </c>
      <c r="AG374" s="65">
        <f t="shared" si="103"/>
        <v>24157000</v>
      </c>
      <c r="AH374" s="65">
        <f t="shared" si="103"/>
        <v>0</v>
      </c>
      <c r="AI374" s="65">
        <f t="shared" si="103"/>
        <v>0</v>
      </c>
      <c r="AJ374" s="65">
        <f t="shared" si="103"/>
        <v>0</v>
      </c>
      <c r="AK374" s="65">
        <f t="shared" si="103"/>
        <v>92417000</v>
      </c>
      <c r="AL374" s="65">
        <f>AK374/AB374*100</f>
        <v>77.014166666666668</v>
      </c>
      <c r="AM374" s="65">
        <f>SUM(AM377:AM394)</f>
        <v>0</v>
      </c>
      <c r="AN374" s="65">
        <f>SUM(AN377:AN394)</f>
        <v>0</v>
      </c>
      <c r="AO374" s="65">
        <f>SUM(AO377:AO394)</f>
        <v>0</v>
      </c>
      <c r="AP374" s="65">
        <f>SUM(AP377:AP394)</f>
        <v>0</v>
      </c>
      <c r="AQ374" s="65">
        <f>AK374+AM374+AN374+AO374+AP374</f>
        <v>92417000</v>
      </c>
      <c r="AR374" s="65">
        <f>AQ374/AB374*100</f>
        <v>77.014166666666668</v>
      </c>
      <c r="AS374" s="65">
        <f>AB374-AQ374</f>
        <v>27583000</v>
      </c>
      <c r="AT374" s="65">
        <f>SUM(AT377:AT383)</f>
        <v>12366000</v>
      </c>
      <c r="AU374" s="65">
        <f>AT374+U374</f>
        <v>44599000</v>
      </c>
      <c r="AV374" s="65">
        <f>AK374</f>
        <v>92417000</v>
      </c>
      <c r="AW374" s="66">
        <f>AV374/AU374*100</f>
        <v>207.21765061996905</v>
      </c>
      <c r="AX374" s="65">
        <f>AU374-AV374</f>
        <v>-47818000</v>
      </c>
      <c r="AY374" s="65">
        <f>AS374/AB374*100</f>
        <v>22.985833333333332</v>
      </c>
      <c r="AZ374" s="67">
        <f t="shared" si="97"/>
        <v>92417000</v>
      </c>
      <c r="BA374" s="29">
        <f>AS374</f>
        <v>27583000</v>
      </c>
    </row>
    <row r="375" spans="1:53" ht="20.100000000000001" customHeight="1">
      <c r="A375" s="68"/>
      <c r="B375" s="69"/>
      <c r="C375" s="240" t="s">
        <v>552</v>
      </c>
      <c r="D375" s="240"/>
      <c r="E375" s="241"/>
      <c r="F375" s="70"/>
      <c r="G375" s="71"/>
      <c r="H375" s="240" t="s">
        <v>10</v>
      </c>
      <c r="I375" s="240"/>
      <c r="J375" s="240"/>
      <c r="K375" s="241"/>
      <c r="L375" s="49"/>
      <c r="M375" s="49"/>
      <c r="N375" s="49"/>
      <c r="O375" s="49"/>
      <c r="P375" s="49"/>
      <c r="Q375" s="49"/>
      <c r="R375" s="72"/>
      <c r="S375" s="49"/>
      <c r="T375" s="49"/>
      <c r="U375" s="49"/>
      <c r="V375" s="49"/>
      <c r="W375" s="49"/>
      <c r="X375" s="49"/>
      <c r="Y375" s="49"/>
      <c r="Z375" s="49"/>
      <c r="AA375" s="49"/>
      <c r="AB375" s="49"/>
      <c r="AC375" s="49">
        <f t="shared" si="102"/>
        <v>0</v>
      </c>
      <c r="AD375" s="49"/>
      <c r="AE375" s="49"/>
      <c r="AF375" s="49"/>
      <c r="AG375" s="49"/>
      <c r="AH375" s="49"/>
      <c r="AI375" s="49"/>
      <c r="AJ375" s="49"/>
      <c r="AK375" s="49"/>
      <c r="AL375" s="49"/>
      <c r="AM375" s="49"/>
      <c r="AN375" s="49"/>
      <c r="AO375" s="49"/>
      <c r="AP375" s="49"/>
      <c r="AQ375" s="49"/>
      <c r="AR375" s="49"/>
      <c r="AS375" s="49"/>
      <c r="AT375" s="49"/>
      <c r="AU375" s="49"/>
      <c r="AV375" s="49"/>
      <c r="AW375" s="49"/>
      <c r="AX375" s="49"/>
      <c r="AY375" s="49"/>
      <c r="AZ375" s="73">
        <f t="shared" si="97"/>
        <v>0</v>
      </c>
    </row>
    <row r="376" spans="1:53" ht="20.100000000000001" customHeight="1">
      <c r="A376" s="68"/>
      <c r="B376" s="69"/>
      <c r="C376" s="240" t="s">
        <v>553</v>
      </c>
      <c r="D376" s="240"/>
      <c r="E376" s="241"/>
      <c r="F376" s="70"/>
      <c r="G376" s="71"/>
      <c r="H376" s="71"/>
      <c r="I376" s="240" t="s">
        <v>177</v>
      </c>
      <c r="J376" s="240"/>
      <c r="K376" s="241"/>
      <c r="L376" s="49"/>
      <c r="M376" s="49"/>
      <c r="N376" s="49"/>
      <c r="O376" s="49"/>
      <c r="P376" s="49"/>
      <c r="Q376" s="49"/>
      <c r="R376" s="72"/>
      <c r="S376" s="49"/>
      <c r="T376" s="49"/>
      <c r="U376" s="49"/>
      <c r="V376" s="49"/>
      <c r="W376" s="49"/>
      <c r="X376" s="49"/>
      <c r="Y376" s="49"/>
      <c r="Z376" s="49"/>
      <c r="AA376" s="49"/>
      <c r="AB376" s="49"/>
      <c r="AC376" s="49">
        <f t="shared" si="102"/>
        <v>0</v>
      </c>
      <c r="AD376" s="49"/>
      <c r="AE376" s="49"/>
      <c r="AF376" s="49"/>
      <c r="AG376" s="49"/>
      <c r="AH376" s="49"/>
      <c r="AI376" s="49"/>
      <c r="AJ376" s="49"/>
      <c r="AK376" s="49"/>
      <c r="AL376" s="49"/>
      <c r="AM376" s="49"/>
      <c r="AN376" s="49"/>
      <c r="AO376" s="49"/>
      <c r="AP376" s="49"/>
      <c r="AQ376" s="49"/>
      <c r="AR376" s="49"/>
      <c r="AS376" s="49"/>
      <c r="AT376" s="49"/>
      <c r="AU376" s="49"/>
      <c r="AV376" s="49"/>
      <c r="AW376" s="49"/>
      <c r="AX376" s="49"/>
      <c r="AY376" s="49"/>
      <c r="AZ376" s="73">
        <f t="shared" si="97"/>
        <v>0</v>
      </c>
    </row>
    <row r="377" spans="1:53" ht="20.100000000000001" customHeight="1">
      <c r="A377" s="68"/>
      <c r="B377" s="69"/>
      <c r="C377" s="240" t="s">
        <v>554</v>
      </c>
      <c r="D377" s="240"/>
      <c r="E377" s="241"/>
      <c r="F377" s="70"/>
      <c r="G377" s="71"/>
      <c r="H377" s="71"/>
      <c r="I377" s="71"/>
      <c r="J377" s="240" t="s">
        <v>283</v>
      </c>
      <c r="K377" s="241"/>
      <c r="L377" s="49">
        <v>3540000</v>
      </c>
      <c r="M377" s="49">
        <v>0</v>
      </c>
      <c r="N377" s="49"/>
      <c r="O377" s="49"/>
      <c r="P377" s="49"/>
      <c r="Q377" s="49">
        <f>SUM(N377:P377)</f>
        <v>0</v>
      </c>
      <c r="R377" s="72"/>
      <c r="S377" s="49">
        <f>M377-Q377</f>
        <v>0</v>
      </c>
      <c r="T377" s="49">
        <v>1770000</v>
      </c>
      <c r="U377" s="49">
        <f>T377+M377</f>
        <v>1770000</v>
      </c>
      <c r="V377" s="49">
        <f>T377+S377</f>
        <v>1770000</v>
      </c>
      <c r="W377" s="49"/>
      <c r="X377" s="49"/>
      <c r="Y377" s="49"/>
      <c r="Z377" s="49"/>
      <c r="AA377" s="49">
        <v>1770000</v>
      </c>
      <c r="AB377" s="49">
        <v>3540000</v>
      </c>
      <c r="AC377" s="49">
        <f t="shared" si="102"/>
        <v>0</v>
      </c>
      <c r="AD377" s="49">
        <f>AA377+T377+M377</f>
        <v>3540000</v>
      </c>
      <c r="AE377" s="49">
        <v>0</v>
      </c>
      <c r="AF377" s="49">
        <v>0</v>
      </c>
      <c r="AG377" s="49">
        <f>1560000+960000</f>
        <v>2520000</v>
      </c>
      <c r="AH377" s="49"/>
      <c r="AI377" s="49"/>
      <c r="AJ377" s="49"/>
      <c r="AK377" s="49">
        <f>Z377+Y377+X377+W377+N377+AG377+AJ377+AI377+AH377</f>
        <v>2520000</v>
      </c>
      <c r="AL377" s="49">
        <f>AK377/AD377*100</f>
        <v>71.186440677966104</v>
      </c>
      <c r="AM377" s="49"/>
      <c r="AN377" s="49"/>
      <c r="AO377" s="49"/>
      <c r="AP377" s="49"/>
      <c r="AQ377" s="49">
        <f>AK377+AM377+AN377+AO377+AP377</f>
        <v>2520000</v>
      </c>
      <c r="AR377" s="49">
        <f>AQ377/AB377*100</f>
        <v>71.186440677966104</v>
      </c>
      <c r="AS377" s="49">
        <f t="shared" si="98"/>
        <v>1020000</v>
      </c>
      <c r="AT377" s="49">
        <v>3091500</v>
      </c>
      <c r="AU377" s="49">
        <f>AT377+U377</f>
        <v>4861500</v>
      </c>
      <c r="AV377" s="49">
        <f>AK377</f>
        <v>2520000</v>
      </c>
      <c r="AW377" s="72">
        <f>AV377/AU377*100</f>
        <v>51.835853131749467</v>
      </c>
      <c r="AX377" s="49">
        <f>AU377-AV377</f>
        <v>2341500</v>
      </c>
      <c r="AY377" s="49">
        <f t="shared" si="95"/>
        <v>28.8135593220339</v>
      </c>
      <c r="AZ377" s="73">
        <f t="shared" si="97"/>
        <v>2520000</v>
      </c>
    </row>
    <row r="378" spans="1:53" ht="20.100000000000001" customHeight="1">
      <c r="A378" s="68"/>
      <c r="B378" s="69"/>
      <c r="C378" s="240" t="s">
        <v>555</v>
      </c>
      <c r="D378" s="240"/>
      <c r="E378" s="241"/>
      <c r="F378" s="70"/>
      <c r="G378" s="71"/>
      <c r="H378" s="240" t="s">
        <v>143</v>
      </c>
      <c r="I378" s="240"/>
      <c r="J378" s="240"/>
      <c r="K378" s="241"/>
      <c r="L378" s="49"/>
      <c r="M378" s="49"/>
      <c r="N378" s="49"/>
      <c r="O378" s="49"/>
      <c r="P378" s="49"/>
      <c r="Q378" s="49"/>
      <c r="R378" s="72"/>
      <c r="S378" s="49"/>
      <c r="T378" s="49"/>
      <c r="U378" s="49"/>
      <c r="V378" s="49"/>
      <c r="W378" s="49"/>
      <c r="X378" s="49"/>
      <c r="Y378" s="49"/>
      <c r="Z378" s="49"/>
      <c r="AA378" s="49"/>
      <c r="AB378" s="49"/>
      <c r="AC378" s="49">
        <f t="shared" si="102"/>
        <v>0</v>
      </c>
      <c r="AD378" s="49"/>
      <c r="AE378" s="49"/>
      <c r="AF378" s="49"/>
      <c r="AG378" s="49"/>
      <c r="AH378" s="49"/>
      <c r="AI378" s="49"/>
      <c r="AJ378" s="49"/>
      <c r="AK378" s="49"/>
      <c r="AL378" s="49"/>
      <c r="AM378" s="49"/>
      <c r="AN378" s="49"/>
      <c r="AO378" s="49"/>
      <c r="AP378" s="49"/>
      <c r="AQ378" s="49"/>
      <c r="AR378" s="49"/>
      <c r="AS378" s="49"/>
      <c r="AT378" s="49"/>
      <c r="AU378" s="49"/>
      <c r="AV378" s="49"/>
      <c r="AW378" s="49"/>
      <c r="AX378" s="49"/>
      <c r="AY378" s="49"/>
      <c r="AZ378" s="73">
        <f t="shared" si="97"/>
        <v>0</v>
      </c>
    </row>
    <row r="379" spans="1:53" ht="20.100000000000001" customHeight="1">
      <c r="A379" s="68"/>
      <c r="B379" s="69"/>
      <c r="C379" s="240" t="s">
        <v>556</v>
      </c>
      <c r="D379" s="240"/>
      <c r="E379" s="241"/>
      <c r="F379" s="70"/>
      <c r="G379" s="71"/>
      <c r="H379" s="71"/>
      <c r="I379" s="240" t="s">
        <v>145</v>
      </c>
      <c r="J379" s="240"/>
      <c r="K379" s="241"/>
      <c r="L379" s="49"/>
      <c r="M379" s="49"/>
      <c r="N379" s="49"/>
      <c r="O379" s="49"/>
      <c r="P379" s="49"/>
      <c r="Q379" s="49"/>
      <c r="R379" s="72"/>
      <c r="S379" s="49"/>
      <c r="T379" s="49"/>
      <c r="U379" s="49"/>
      <c r="V379" s="49"/>
      <c r="W379" s="49"/>
      <c r="X379" s="49"/>
      <c r="Y379" s="49"/>
      <c r="Z379" s="49"/>
      <c r="AA379" s="49"/>
      <c r="AB379" s="49"/>
      <c r="AC379" s="49">
        <f t="shared" si="102"/>
        <v>0</v>
      </c>
      <c r="AD379" s="49"/>
      <c r="AE379" s="49"/>
      <c r="AF379" s="49"/>
      <c r="AG379" s="49"/>
      <c r="AH379" s="49"/>
      <c r="AI379" s="49"/>
      <c r="AJ379" s="49"/>
      <c r="AK379" s="49"/>
      <c r="AL379" s="49"/>
      <c r="AM379" s="49"/>
      <c r="AN379" s="49"/>
      <c r="AO379" s="49"/>
      <c r="AP379" s="49"/>
      <c r="AQ379" s="49"/>
      <c r="AR379" s="49"/>
      <c r="AS379" s="49"/>
      <c r="AT379" s="49"/>
      <c r="AU379" s="49"/>
      <c r="AV379" s="49"/>
      <c r="AW379" s="49"/>
      <c r="AX379" s="49"/>
      <c r="AY379" s="49"/>
      <c r="AZ379" s="73">
        <f t="shared" si="97"/>
        <v>0</v>
      </c>
    </row>
    <row r="380" spans="1:53" ht="20.100000000000001" customHeight="1">
      <c r="A380" s="68"/>
      <c r="B380" s="69"/>
      <c r="C380" s="240" t="s">
        <v>557</v>
      </c>
      <c r="D380" s="240"/>
      <c r="E380" s="241"/>
      <c r="F380" s="70"/>
      <c r="G380" s="71"/>
      <c r="H380" s="71"/>
      <c r="I380" s="71"/>
      <c r="J380" s="240" t="s">
        <v>147</v>
      </c>
      <c r="K380" s="241"/>
      <c r="L380" s="49">
        <v>2233000</v>
      </c>
      <c r="M380" s="49">
        <v>0</v>
      </c>
      <c r="N380" s="49"/>
      <c r="O380" s="49"/>
      <c r="P380" s="49"/>
      <c r="Q380" s="49">
        <f>SUM(N380:P380)</f>
        <v>0</v>
      </c>
      <c r="R380" s="72"/>
      <c r="S380" s="49">
        <f>M380-Q380</f>
        <v>0</v>
      </c>
      <c r="T380" s="49">
        <v>2233000</v>
      </c>
      <c r="U380" s="49">
        <f>T380+M380</f>
        <v>2233000</v>
      </c>
      <c r="V380" s="49">
        <f>T380+S380</f>
        <v>2233000</v>
      </c>
      <c r="W380" s="49"/>
      <c r="X380" s="49"/>
      <c r="Y380" s="49"/>
      <c r="Z380" s="49"/>
      <c r="AA380" s="49">
        <v>0</v>
      </c>
      <c r="AB380" s="49">
        <v>2233000</v>
      </c>
      <c r="AC380" s="49">
        <f t="shared" si="102"/>
        <v>0</v>
      </c>
      <c r="AD380" s="49">
        <f>AA380+T380+M380</f>
        <v>2233000</v>
      </c>
      <c r="AE380" s="49">
        <v>0</v>
      </c>
      <c r="AF380" s="49">
        <v>0</v>
      </c>
      <c r="AG380" s="49">
        <v>2233000</v>
      </c>
      <c r="AH380" s="49"/>
      <c r="AI380" s="49"/>
      <c r="AJ380" s="49"/>
      <c r="AK380" s="49">
        <f>Z380+Y380+X380+W380+N380+AG380+AJ380+AI380+AH380</f>
        <v>2233000</v>
      </c>
      <c r="AL380" s="49">
        <f>AK380/AD380*100</f>
        <v>100</v>
      </c>
      <c r="AM380" s="49"/>
      <c r="AN380" s="49"/>
      <c r="AO380" s="49"/>
      <c r="AP380" s="49"/>
      <c r="AQ380" s="49">
        <f>AK380+AM380+AN380+AO380+AP380</f>
        <v>2233000</v>
      </c>
      <c r="AR380" s="49">
        <f>AQ380/AB380*100</f>
        <v>100</v>
      </c>
      <c r="AS380" s="49">
        <f t="shared" si="98"/>
        <v>0</v>
      </c>
      <c r="AT380" s="49">
        <v>3091500</v>
      </c>
      <c r="AU380" s="49">
        <f>AT380+U380</f>
        <v>5324500</v>
      </c>
      <c r="AV380" s="49">
        <f>AK380</f>
        <v>2233000</v>
      </c>
      <c r="AW380" s="72">
        <f>AV380/AU380*100</f>
        <v>41.938210160578457</v>
      </c>
      <c r="AX380" s="49">
        <f>AU380-AV380</f>
        <v>3091500</v>
      </c>
      <c r="AY380" s="49">
        <f t="shared" si="95"/>
        <v>0</v>
      </c>
      <c r="AZ380" s="73">
        <f t="shared" si="97"/>
        <v>2233000</v>
      </c>
    </row>
    <row r="381" spans="1:53" ht="20.100000000000001" customHeight="1">
      <c r="A381" s="68"/>
      <c r="B381" s="69"/>
      <c r="C381" s="240" t="s">
        <v>558</v>
      </c>
      <c r="D381" s="240"/>
      <c r="E381" s="241"/>
      <c r="F381" s="70"/>
      <c r="G381" s="71"/>
      <c r="H381" s="71"/>
      <c r="I381" s="240" t="s">
        <v>163</v>
      </c>
      <c r="J381" s="240"/>
      <c r="K381" s="241"/>
      <c r="L381" s="49"/>
      <c r="M381" s="49"/>
      <c r="N381" s="49"/>
      <c r="O381" s="49"/>
      <c r="P381" s="49"/>
      <c r="Q381" s="49"/>
      <c r="R381" s="72"/>
      <c r="S381" s="49"/>
      <c r="T381" s="49"/>
      <c r="U381" s="49"/>
      <c r="V381" s="49"/>
      <c r="W381" s="49"/>
      <c r="X381" s="49"/>
      <c r="Y381" s="49"/>
      <c r="Z381" s="49"/>
      <c r="AA381" s="49"/>
      <c r="AB381" s="49"/>
      <c r="AC381" s="49">
        <f t="shared" si="102"/>
        <v>0</v>
      </c>
      <c r="AD381" s="49"/>
      <c r="AE381" s="49"/>
      <c r="AF381" s="49"/>
      <c r="AG381" s="49"/>
      <c r="AH381" s="49"/>
      <c r="AI381" s="49"/>
      <c r="AJ381" s="49"/>
      <c r="AK381" s="49"/>
      <c r="AL381" s="49"/>
      <c r="AM381" s="49"/>
      <c r="AN381" s="49"/>
      <c r="AO381" s="49"/>
      <c r="AP381" s="49"/>
      <c r="AQ381" s="49"/>
      <c r="AR381" s="49"/>
      <c r="AS381" s="49"/>
      <c r="AT381" s="49"/>
      <c r="AU381" s="49"/>
      <c r="AV381" s="49"/>
      <c r="AW381" s="49"/>
      <c r="AX381" s="49"/>
      <c r="AY381" s="49"/>
      <c r="AZ381" s="73">
        <f t="shared" si="97"/>
        <v>0</v>
      </c>
    </row>
    <row r="382" spans="1:53" ht="20.100000000000001" customHeight="1">
      <c r="A382" s="68"/>
      <c r="B382" s="69"/>
      <c r="C382" s="240" t="s">
        <v>559</v>
      </c>
      <c r="D382" s="240"/>
      <c r="E382" s="241"/>
      <c r="F382" s="70"/>
      <c r="G382" s="71"/>
      <c r="H382" s="71"/>
      <c r="I382" s="71"/>
      <c r="J382" s="240" t="s">
        <v>349</v>
      </c>
      <c r="K382" s="241"/>
      <c r="L382" s="49">
        <v>8570000</v>
      </c>
      <c r="M382" s="49">
        <v>0</v>
      </c>
      <c r="N382" s="49"/>
      <c r="O382" s="49"/>
      <c r="P382" s="49"/>
      <c r="Q382" s="49">
        <f>SUM(N382:P382)</f>
        <v>0</v>
      </c>
      <c r="R382" s="72"/>
      <c r="S382" s="49">
        <f>M382-Q382</f>
        <v>0</v>
      </c>
      <c r="T382" s="49">
        <v>0</v>
      </c>
      <c r="U382" s="49">
        <f>T382+M382</f>
        <v>0</v>
      </c>
      <c r="V382" s="49">
        <f>T382+S382</f>
        <v>0</v>
      </c>
      <c r="W382" s="49"/>
      <c r="X382" s="49"/>
      <c r="Y382" s="49"/>
      <c r="Z382" s="49"/>
      <c r="AA382" s="49">
        <v>8570000</v>
      </c>
      <c r="AB382" s="49">
        <v>8570000</v>
      </c>
      <c r="AC382" s="49">
        <f t="shared" si="102"/>
        <v>0</v>
      </c>
      <c r="AD382" s="49">
        <f>AA382+T382+M382</f>
        <v>8570000</v>
      </c>
      <c r="AE382" s="49">
        <v>0</v>
      </c>
      <c r="AF382" s="49">
        <v>0</v>
      </c>
      <c r="AG382" s="49">
        <v>8170000</v>
      </c>
      <c r="AH382" s="49"/>
      <c r="AI382" s="49"/>
      <c r="AJ382" s="49"/>
      <c r="AK382" s="49">
        <f>Z382+Y382+X382+W382+N382+AG382+AJ382+AI382+AH382</f>
        <v>8170000</v>
      </c>
      <c r="AL382" s="49">
        <f>AK382/AD382*100</f>
        <v>95.332555425904317</v>
      </c>
      <c r="AM382" s="49"/>
      <c r="AN382" s="49"/>
      <c r="AO382" s="49"/>
      <c r="AP382" s="49"/>
      <c r="AQ382" s="49">
        <f>AK382+AM382+AN382+AO382+AP382</f>
        <v>8170000</v>
      </c>
      <c r="AR382" s="49">
        <f>AQ382/AB382*100</f>
        <v>95.332555425904317</v>
      </c>
      <c r="AS382" s="49">
        <f t="shared" si="98"/>
        <v>400000</v>
      </c>
      <c r="AT382" s="49">
        <v>3091500</v>
      </c>
      <c r="AU382" s="49">
        <f>AT382+U382</f>
        <v>3091500</v>
      </c>
      <c r="AV382" s="49">
        <f>AK382</f>
        <v>8170000</v>
      </c>
      <c r="AW382" s="72">
        <f>AV382/AU382*100</f>
        <v>264.2730066310852</v>
      </c>
      <c r="AX382" s="49">
        <f>AU382-AV382</f>
        <v>-5078500</v>
      </c>
      <c r="AY382" s="49">
        <f t="shared" si="95"/>
        <v>4.6674445740956827</v>
      </c>
      <c r="AZ382" s="73">
        <f t="shared" si="97"/>
        <v>8170000</v>
      </c>
    </row>
    <row r="383" spans="1:53" ht="20.100000000000001" customHeight="1">
      <c r="A383" s="68"/>
      <c r="B383" s="69"/>
      <c r="C383" s="240" t="s">
        <v>560</v>
      </c>
      <c r="D383" s="240"/>
      <c r="E383" s="241"/>
      <c r="F383" s="70"/>
      <c r="G383" s="71"/>
      <c r="H383" s="71"/>
      <c r="I383" s="71"/>
      <c r="J383" s="240" t="s">
        <v>231</v>
      </c>
      <c r="K383" s="241"/>
      <c r="L383" s="49">
        <v>720000</v>
      </c>
      <c r="M383" s="49">
        <v>0</v>
      </c>
      <c r="N383" s="49"/>
      <c r="O383" s="49"/>
      <c r="P383" s="49"/>
      <c r="Q383" s="49">
        <f>SUM(N383:P383)</f>
        <v>0</v>
      </c>
      <c r="R383" s="72"/>
      <c r="S383" s="49">
        <f>M383-Q383</f>
        <v>0</v>
      </c>
      <c r="T383" s="49">
        <v>0</v>
      </c>
      <c r="U383" s="49">
        <f>T383+M383</f>
        <v>0</v>
      </c>
      <c r="V383" s="49">
        <f>T383+S383</f>
        <v>0</v>
      </c>
      <c r="W383" s="49"/>
      <c r="X383" s="49"/>
      <c r="Y383" s="49"/>
      <c r="Z383" s="49"/>
      <c r="AA383" s="49">
        <v>720000</v>
      </c>
      <c r="AB383" s="49">
        <v>720000</v>
      </c>
      <c r="AC383" s="49">
        <f t="shared" si="102"/>
        <v>0</v>
      </c>
      <c r="AD383" s="49">
        <f>AA383+T383+M383</f>
        <v>720000</v>
      </c>
      <c r="AE383" s="49">
        <v>0</v>
      </c>
      <c r="AF383" s="49">
        <v>0</v>
      </c>
      <c r="AG383" s="49">
        <v>200000</v>
      </c>
      <c r="AH383" s="49"/>
      <c r="AI383" s="49"/>
      <c r="AJ383" s="49"/>
      <c r="AK383" s="49">
        <f>Z383+Y383+X383+W383+N383+AG383+AJ383+AI383+AH383</f>
        <v>200000</v>
      </c>
      <c r="AL383" s="49">
        <f>AK383/AD383*100</f>
        <v>27.777777777777779</v>
      </c>
      <c r="AM383" s="49"/>
      <c r="AN383" s="49"/>
      <c r="AO383" s="49"/>
      <c r="AP383" s="49"/>
      <c r="AQ383" s="49">
        <f>AK383+AM383+AN383+AO383+AP383</f>
        <v>200000</v>
      </c>
      <c r="AR383" s="49">
        <f>AQ383/AB383*100</f>
        <v>27.777777777777779</v>
      </c>
      <c r="AS383" s="49">
        <f t="shared" si="98"/>
        <v>520000</v>
      </c>
      <c r="AT383" s="49">
        <v>3091500</v>
      </c>
      <c r="AU383" s="49">
        <f>AT383+U383</f>
        <v>3091500</v>
      </c>
      <c r="AV383" s="49">
        <f>AK383</f>
        <v>200000</v>
      </c>
      <c r="AW383" s="72">
        <f>AV383/AU383*100</f>
        <v>6.4693514475173863</v>
      </c>
      <c r="AX383" s="49">
        <f>AU383-AV383</f>
        <v>2891500</v>
      </c>
      <c r="AY383" s="49">
        <f t="shared" si="95"/>
        <v>72.222222222222214</v>
      </c>
      <c r="AZ383" s="73">
        <f t="shared" si="97"/>
        <v>200000</v>
      </c>
    </row>
    <row r="384" spans="1:53" ht="20.100000000000001" customHeight="1">
      <c r="A384" s="68"/>
      <c r="B384" s="69"/>
      <c r="C384" s="240" t="s">
        <v>561</v>
      </c>
      <c r="D384" s="240"/>
      <c r="E384" s="241"/>
      <c r="F384" s="70"/>
      <c r="G384" s="71"/>
      <c r="H384" s="71"/>
      <c r="I384" s="240" t="s">
        <v>151</v>
      </c>
      <c r="J384" s="240"/>
      <c r="K384" s="241"/>
      <c r="L384" s="49"/>
      <c r="M384" s="49"/>
      <c r="N384" s="49"/>
      <c r="O384" s="49"/>
      <c r="P384" s="49"/>
      <c r="Q384" s="49"/>
      <c r="R384" s="72"/>
      <c r="S384" s="49"/>
      <c r="T384" s="49"/>
      <c r="U384" s="49"/>
      <c r="V384" s="49"/>
      <c r="W384" s="49"/>
      <c r="X384" s="49"/>
      <c r="Y384" s="49"/>
      <c r="Z384" s="49"/>
      <c r="AA384" s="49"/>
      <c r="AB384" s="49"/>
      <c r="AC384" s="49">
        <f t="shared" si="102"/>
        <v>0</v>
      </c>
      <c r="AD384" s="49"/>
      <c r="AE384" s="49"/>
      <c r="AF384" s="49"/>
      <c r="AG384" s="49"/>
      <c r="AH384" s="49"/>
      <c r="AI384" s="49"/>
      <c r="AJ384" s="49"/>
      <c r="AK384" s="49"/>
      <c r="AL384" s="49"/>
      <c r="AM384" s="49"/>
      <c r="AN384" s="49"/>
      <c r="AO384" s="49"/>
      <c r="AP384" s="49"/>
      <c r="AQ384" s="49"/>
      <c r="AR384" s="49"/>
      <c r="AS384" s="49"/>
      <c r="AT384" s="49"/>
      <c r="AU384" s="49"/>
      <c r="AV384" s="49"/>
      <c r="AW384" s="49"/>
      <c r="AX384" s="49"/>
      <c r="AY384" s="49"/>
      <c r="AZ384" s="73">
        <f t="shared" si="97"/>
        <v>0</v>
      </c>
    </row>
    <row r="385" spans="1:54" ht="20.100000000000001" customHeight="1">
      <c r="A385" s="68"/>
      <c r="B385" s="69"/>
      <c r="C385" s="240" t="s">
        <v>562</v>
      </c>
      <c r="D385" s="240"/>
      <c r="E385" s="241"/>
      <c r="F385" s="70"/>
      <c r="G385" s="71"/>
      <c r="H385" s="71"/>
      <c r="I385" s="71"/>
      <c r="J385" s="240" t="s">
        <v>153</v>
      </c>
      <c r="K385" s="241"/>
      <c r="L385" s="49">
        <v>750000</v>
      </c>
      <c r="M385" s="49">
        <v>0</v>
      </c>
      <c r="N385" s="49"/>
      <c r="O385" s="49"/>
      <c r="P385" s="49"/>
      <c r="Q385" s="49">
        <f>SUM(N385:P385)</f>
        <v>0</v>
      </c>
      <c r="R385" s="72"/>
      <c r="S385" s="49">
        <f>M385-Q385</f>
        <v>0</v>
      </c>
      <c r="T385" s="49">
        <v>750000</v>
      </c>
      <c r="U385" s="49">
        <f>T385+M385</f>
        <v>750000</v>
      </c>
      <c r="V385" s="49">
        <f>T385+S385</f>
        <v>750000</v>
      </c>
      <c r="W385" s="49"/>
      <c r="X385" s="49"/>
      <c r="Y385" s="49"/>
      <c r="Z385" s="49"/>
      <c r="AA385" s="49">
        <v>0</v>
      </c>
      <c r="AB385" s="49">
        <v>750000</v>
      </c>
      <c r="AC385" s="49">
        <f t="shared" si="102"/>
        <v>0</v>
      </c>
      <c r="AD385" s="49">
        <f>AA385+T385+M385</f>
        <v>750000</v>
      </c>
      <c r="AE385" s="49">
        <v>0</v>
      </c>
      <c r="AF385" s="49">
        <v>0</v>
      </c>
      <c r="AG385" s="49">
        <v>750000</v>
      </c>
      <c r="AH385" s="49"/>
      <c r="AI385" s="49"/>
      <c r="AJ385" s="49"/>
      <c r="AK385" s="49">
        <f>Z385+Y385+X385+W385+N385+AG385+AJ385+AI385+AH385</f>
        <v>750000</v>
      </c>
      <c r="AL385" s="49">
        <f>AK385/AD385*100</f>
        <v>100</v>
      </c>
      <c r="AM385" s="49"/>
      <c r="AN385" s="49"/>
      <c r="AO385" s="49"/>
      <c r="AP385" s="49"/>
      <c r="AQ385" s="49">
        <f>AK385+AM385+AN385+AO385+AP385</f>
        <v>750000</v>
      </c>
      <c r="AR385" s="49">
        <f>AQ385/AB385*100</f>
        <v>100</v>
      </c>
      <c r="AS385" s="49">
        <f t="shared" si="98"/>
        <v>0</v>
      </c>
      <c r="AT385" s="49">
        <v>3091500</v>
      </c>
      <c r="AU385" s="49">
        <f>AT385+U385</f>
        <v>3841500</v>
      </c>
      <c r="AV385" s="49">
        <f>AK385</f>
        <v>750000</v>
      </c>
      <c r="AW385" s="72">
        <f>AV385/AU385*100</f>
        <v>19.52362358453729</v>
      </c>
      <c r="AX385" s="49">
        <f>AU385-AV385</f>
        <v>3091500</v>
      </c>
      <c r="AY385" s="49">
        <f t="shared" si="95"/>
        <v>0</v>
      </c>
      <c r="AZ385" s="73">
        <f t="shared" si="97"/>
        <v>750000</v>
      </c>
    </row>
    <row r="386" spans="1:54" ht="20.100000000000001" customHeight="1">
      <c r="A386" s="68"/>
      <c r="B386" s="69"/>
      <c r="C386" s="240" t="s">
        <v>563</v>
      </c>
      <c r="D386" s="240"/>
      <c r="E386" s="241"/>
      <c r="F386" s="70"/>
      <c r="G386" s="71"/>
      <c r="H386" s="71"/>
      <c r="I386" s="71"/>
      <c r="J386" s="240" t="s">
        <v>155</v>
      </c>
      <c r="K386" s="241"/>
      <c r="L386" s="49">
        <v>1767000</v>
      </c>
      <c r="M386" s="49">
        <v>0</v>
      </c>
      <c r="N386" s="49"/>
      <c r="O386" s="49"/>
      <c r="P386" s="49"/>
      <c r="Q386" s="49">
        <f>SUM(N386:P386)</f>
        <v>0</v>
      </c>
      <c r="R386" s="72"/>
      <c r="S386" s="49">
        <f>M386-Q386</f>
        <v>0</v>
      </c>
      <c r="T386" s="49">
        <v>0</v>
      </c>
      <c r="U386" s="49">
        <f>T386+M386</f>
        <v>0</v>
      </c>
      <c r="V386" s="49">
        <f>T386+S386</f>
        <v>0</v>
      </c>
      <c r="W386" s="49"/>
      <c r="X386" s="49"/>
      <c r="Y386" s="49"/>
      <c r="Z386" s="49"/>
      <c r="AA386" s="49">
        <v>1767000</v>
      </c>
      <c r="AB386" s="49">
        <v>1767000</v>
      </c>
      <c r="AC386" s="49">
        <f t="shared" si="102"/>
        <v>0</v>
      </c>
      <c r="AD386" s="49">
        <f>AA386+T386+M386</f>
        <v>1767000</v>
      </c>
      <c r="AE386" s="49">
        <v>0</v>
      </c>
      <c r="AF386" s="49">
        <v>0</v>
      </c>
      <c r="AG386" s="49">
        <v>1764000</v>
      </c>
      <c r="AH386" s="49"/>
      <c r="AI386" s="49"/>
      <c r="AJ386" s="49"/>
      <c r="AK386" s="49">
        <f>Z386+Y386+X386+W386+N386+AG386+AJ386+AI386+AH386</f>
        <v>1764000</v>
      </c>
      <c r="AL386" s="49">
        <f>AK386/AD386*100</f>
        <v>99.830220713073004</v>
      </c>
      <c r="AM386" s="49"/>
      <c r="AN386" s="49"/>
      <c r="AO386" s="49"/>
      <c r="AP386" s="49"/>
      <c r="AQ386" s="49">
        <f>AK386+AM386+AN386+AO386+AP386</f>
        <v>1764000</v>
      </c>
      <c r="AR386" s="49">
        <f>AQ386/AB386*100</f>
        <v>99.830220713073004</v>
      </c>
      <c r="AS386" s="49">
        <f t="shared" si="98"/>
        <v>3000</v>
      </c>
      <c r="AT386" s="49">
        <v>3091500</v>
      </c>
      <c r="AU386" s="49">
        <f>AT386+U386</f>
        <v>3091500</v>
      </c>
      <c r="AV386" s="49">
        <f>AK386</f>
        <v>1764000</v>
      </c>
      <c r="AW386" s="72">
        <f>AV386/AU386*100</f>
        <v>57.059679767103347</v>
      </c>
      <c r="AX386" s="49">
        <f>AU386-AV386</f>
        <v>1327500</v>
      </c>
      <c r="AY386" s="49">
        <f t="shared" si="95"/>
        <v>0.1697792869269949</v>
      </c>
      <c r="AZ386" s="73">
        <f t="shared" si="97"/>
        <v>1764000</v>
      </c>
    </row>
    <row r="387" spans="1:54" ht="20.100000000000001" customHeight="1">
      <c r="A387" s="68"/>
      <c r="B387" s="69"/>
      <c r="C387" s="240" t="s">
        <v>564</v>
      </c>
      <c r="D387" s="240"/>
      <c r="E387" s="241"/>
      <c r="F387" s="70"/>
      <c r="G387" s="71"/>
      <c r="H387" s="71"/>
      <c r="I387" s="240" t="s">
        <v>565</v>
      </c>
      <c r="J387" s="240"/>
      <c r="K387" s="241"/>
      <c r="L387" s="49"/>
      <c r="M387" s="49"/>
      <c r="N387" s="49"/>
      <c r="O387" s="49"/>
      <c r="P387" s="49"/>
      <c r="Q387" s="49"/>
      <c r="R387" s="72"/>
      <c r="S387" s="49"/>
      <c r="T387" s="49"/>
      <c r="U387" s="49"/>
      <c r="V387" s="49"/>
      <c r="W387" s="49"/>
      <c r="X387" s="49"/>
      <c r="Y387" s="49"/>
      <c r="Z387" s="49"/>
      <c r="AA387" s="49"/>
      <c r="AB387" s="49"/>
      <c r="AC387" s="49">
        <f t="shared" si="102"/>
        <v>0</v>
      </c>
      <c r="AD387" s="49"/>
      <c r="AE387" s="49"/>
      <c r="AF387" s="49"/>
      <c r="AG387" s="49"/>
      <c r="AH387" s="49"/>
      <c r="AI387" s="49"/>
      <c r="AJ387" s="49"/>
      <c r="AK387" s="49"/>
      <c r="AL387" s="49"/>
      <c r="AM387" s="49"/>
      <c r="AN387" s="49"/>
      <c r="AO387" s="49"/>
      <c r="AP387" s="49"/>
      <c r="AQ387" s="49"/>
      <c r="AR387" s="49"/>
      <c r="AS387" s="49"/>
      <c r="AT387" s="49"/>
      <c r="AU387" s="49"/>
      <c r="AV387" s="49"/>
      <c r="AW387" s="49"/>
      <c r="AX387" s="49"/>
      <c r="AY387" s="49"/>
      <c r="AZ387" s="73">
        <f t="shared" si="97"/>
        <v>0</v>
      </c>
    </row>
    <row r="388" spans="1:54" ht="20.100000000000001" customHeight="1">
      <c r="A388" s="68"/>
      <c r="B388" s="69"/>
      <c r="C388" s="240" t="s">
        <v>566</v>
      </c>
      <c r="D388" s="240"/>
      <c r="E388" s="241"/>
      <c r="F388" s="70"/>
      <c r="G388" s="71"/>
      <c r="H388" s="71"/>
      <c r="I388" s="71"/>
      <c r="J388" s="240" t="s">
        <v>567</v>
      </c>
      <c r="K388" s="241"/>
      <c r="L388" s="49">
        <v>850000</v>
      </c>
      <c r="M388" s="49">
        <v>0</v>
      </c>
      <c r="N388" s="49"/>
      <c r="O388" s="49"/>
      <c r="P388" s="49"/>
      <c r="Q388" s="49">
        <f>SUM(N388:P388)</f>
        <v>0</v>
      </c>
      <c r="R388" s="72"/>
      <c r="S388" s="49">
        <f>M388-Q388</f>
        <v>0</v>
      </c>
      <c r="T388" s="49">
        <v>0</v>
      </c>
      <c r="U388" s="49">
        <f>T388+M388</f>
        <v>0</v>
      </c>
      <c r="V388" s="49">
        <f>T388+S388</f>
        <v>0</v>
      </c>
      <c r="W388" s="49"/>
      <c r="X388" s="49"/>
      <c r="Y388" s="49"/>
      <c r="Z388" s="49"/>
      <c r="AA388" s="49">
        <v>850000</v>
      </c>
      <c r="AB388" s="49">
        <v>850000</v>
      </c>
      <c r="AC388" s="49">
        <f t="shared" si="102"/>
        <v>0</v>
      </c>
      <c r="AD388" s="49">
        <f>AA388+T388+M388</f>
        <v>850000</v>
      </c>
      <c r="AE388" s="49"/>
      <c r="AF388" s="49"/>
      <c r="AG388" s="49"/>
      <c r="AH388" s="49"/>
      <c r="AI388" s="49"/>
      <c r="AJ388" s="49"/>
      <c r="AK388" s="49">
        <f>Z388+Y388+X388+W388+N388+AG388+AJ388+AI388+AH388</f>
        <v>0</v>
      </c>
      <c r="AL388" s="49">
        <f>AK388/AD388*100</f>
        <v>0</v>
      </c>
      <c r="AM388" s="49"/>
      <c r="AN388" s="49"/>
      <c r="AO388" s="49"/>
      <c r="AP388" s="49"/>
      <c r="AQ388" s="49">
        <f>AK388+AL388+AM388+AN388+AO388+AP388</f>
        <v>0</v>
      </c>
      <c r="AR388" s="49"/>
      <c r="AS388" s="49">
        <f t="shared" si="98"/>
        <v>850000</v>
      </c>
      <c r="AT388" s="49">
        <v>3091500</v>
      </c>
      <c r="AU388" s="49">
        <f>AT388+U388</f>
        <v>3091500</v>
      </c>
      <c r="AV388" s="49">
        <f>AK388</f>
        <v>0</v>
      </c>
      <c r="AW388" s="72">
        <f>AV388/AU388*100</f>
        <v>0</v>
      </c>
      <c r="AX388" s="49">
        <f>AU388-AV388</f>
        <v>3091500</v>
      </c>
      <c r="AY388" s="49">
        <f t="shared" si="95"/>
        <v>100</v>
      </c>
      <c r="AZ388" s="73">
        <f t="shared" si="97"/>
        <v>0</v>
      </c>
    </row>
    <row r="389" spans="1:54" ht="20.100000000000001" customHeight="1">
      <c r="A389" s="68"/>
      <c r="B389" s="69"/>
      <c r="C389" s="240" t="s">
        <v>568</v>
      </c>
      <c r="D389" s="240"/>
      <c r="E389" s="241"/>
      <c r="F389" s="70"/>
      <c r="G389" s="71"/>
      <c r="H389" s="71"/>
      <c r="I389" s="71"/>
      <c r="J389" s="240" t="s">
        <v>569</v>
      </c>
      <c r="K389" s="241"/>
      <c r="L389" s="49">
        <v>64000000</v>
      </c>
      <c r="M389" s="49">
        <v>0</v>
      </c>
      <c r="N389" s="49"/>
      <c r="O389" s="49"/>
      <c r="P389" s="49"/>
      <c r="Q389" s="49">
        <f>SUM(N389:P389)</f>
        <v>0</v>
      </c>
      <c r="R389" s="72"/>
      <c r="S389" s="49">
        <f>M389-Q389</f>
        <v>0</v>
      </c>
      <c r="T389" s="49">
        <v>0</v>
      </c>
      <c r="U389" s="49">
        <f>T389+M389</f>
        <v>0</v>
      </c>
      <c r="V389" s="49">
        <f>T389+S389</f>
        <v>0</v>
      </c>
      <c r="W389" s="49"/>
      <c r="X389" s="49"/>
      <c r="Y389" s="49"/>
      <c r="Z389" s="49"/>
      <c r="AA389" s="49">
        <v>64000000</v>
      </c>
      <c r="AB389" s="49">
        <v>64000000</v>
      </c>
      <c r="AC389" s="49">
        <f t="shared" si="102"/>
        <v>0</v>
      </c>
      <c r="AD389" s="49">
        <f>AA389+T389+M389</f>
        <v>64000000</v>
      </c>
      <c r="AE389" s="49">
        <v>0</v>
      </c>
      <c r="AF389" s="49">
        <f>25000000+22500000</f>
        <v>47500000</v>
      </c>
      <c r="AG389" s="49">
        <f>2000000</f>
        <v>2000000</v>
      </c>
      <c r="AH389" s="49"/>
      <c r="AI389" s="49"/>
      <c r="AJ389" s="49"/>
      <c r="AK389" s="49">
        <f>Z389+Y389+X389+W389+N389+AG389+AE389+AJ389+AI389+AH389+AF389</f>
        <v>49500000</v>
      </c>
      <c r="AL389" s="49">
        <f>AK389/AD389*100</f>
        <v>77.34375</v>
      </c>
      <c r="AM389" s="49"/>
      <c r="AN389" s="49"/>
      <c r="AO389" s="49"/>
      <c r="AP389" s="49"/>
      <c r="AQ389" s="49">
        <f>AK389+AM389+AN389+AO389+AP389</f>
        <v>49500000</v>
      </c>
      <c r="AR389" s="49">
        <f>AQ389/AB389*100</f>
        <v>77.34375</v>
      </c>
      <c r="AS389" s="49">
        <f t="shared" si="98"/>
        <v>14500000</v>
      </c>
      <c r="AT389" s="49">
        <v>3091500</v>
      </c>
      <c r="AU389" s="49">
        <f>AT389+U389</f>
        <v>3091500</v>
      </c>
      <c r="AV389" s="49">
        <f>AK389</f>
        <v>49500000</v>
      </c>
      <c r="AW389" s="72">
        <f>AV389/AU389*100</f>
        <v>1601.164483260553</v>
      </c>
      <c r="AX389" s="49">
        <f>AU389-AV389</f>
        <v>-46408500</v>
      </c>
      <c r="AY389" s="49">
        <f t="shared" si="95"/>
        <v>22.65625</v>
      </c>
      <c r="AZ389" s="73">
        <f t="shared" si="97"/>
        <v>49500000</v>
      </c>
    </row>
    <row r="390" spans="1:54" ht="20.100000000000001" customHeight="1">
      <c r="A390" s="68"/>
      <c r="B390" s="69"/>
      <c r="C390" s="240" t="s">
        <v>570</v>
      </c>
      <c r="D390" s="240"/>
      <c r="E390" s="241"/>
      <c r="F390" s="70"/>
      <c r="G390" s="71"/>
      <c r="H390" s="71"/>
      <c r="I390" s="240" t="s">
        <v>193</v>
      </c>
      <c r="J390" s="240"/>
      <c r="K390" s="241"/>
      <c r="L390" s="49"/>
      <c r="M390" s="49"/>
      <c r="N390" s="49"/>
      <c r="O390" s="49"/>
      <c r="P390" s="49"/>
      <c r="Q390" s="49"/>
      <c r="R390" s="72"/>
      <c r="S390" s="49"/>
      <c r="T390" s="49"/>
      <c r="U390" s="49">
        <f>T390+M390</f>
        <v>0</v>
      </c>
      <c r="V390" s="49">
        <f>T390+S390</f>
        <v>0</v>
      </c>
      <c r="W390" s="49"/>
      <c r="X390" s="49"/>
      <c r="Y390" s="49"/>
      <c r="Z390" s="49"/>
      <c r="AA390" s="49"/>
      <c r="AB390" s="49"/>
      <c r="AC390" s="49">
        <f t="shared" si="102"/>
        <v>0</v>
      </c>
      <c r="AD390" s="49"/>
      <c r="AE390" s="49"/>
      <c r="AF390" s="49"/>
      <c r="AG390" s="77"/>
      <c r="AH390" s="49"/>
      <c r="AI390" s="77"/>
      <c r="AJ390" s="77"/>
      <c r="AK390" s="49"/>
      <c r="AL390" s="49" t="s">
        <v>48</v>
      </c>
      <c r="AM390" s="49"/>
      <c r="AN390" s="49"/>
      <c r="AO390" s="49"/>
      <c r="AP390" s="49"/>
      <c r="AQ390" s="49"/>
      <c r="AR390" s="49"/>
      <c r="AS390" s="49"/>
      <c r="AT390" s="49"/>
      <c r="AU390" s="49"/>
      <c r="AV390" s="49"/>
      <c r="AW390" s="49"/>
      <c r="AX390" s="49"/>
      <c r="AY390" s="49"/>
      <c r="AZ390" s="73">
        <f t="shared" si="97"/>
        <v>0</v>
      </c>
    </row>
    <row r="391" spans="1:54" ht="20.100000000000001" customHeight="1">
      <c r="A391" s="68"/>
      <c r="B391" s="69"/>
      <c r="C391" s="240" t="s">
        <v>571</v>
      </c>
      <c r="D391" s="240"/>
      <c r="E391" s="241"/>
      <c r="F391" s="70"/>
      <c r="G391" s="71"/>
      <c r="H391" s="71"/>
      <c r="I391" s="71"/>
      <c r="J391" s="240" t="s">
        <v>312</v>
      </c>
      <c r="K391" s="241"/>
      <c r="L391" s="49">
        <v>6730000</v>
      </c>
      <c r="M391" s="49">
        <v>0</v>
      </c>
      <c r="N391" s="49"/>
      <c r="O391" s="49"/>
      <c r="P391" s="49"/>
      <c r="Q391" s="49">
        <f>SUM(N391:P391)</f>
        <v>0</v>
      </c>
      <c r="R391" s="72"/>
      <c r="S391" s="49">
        <f>M391-Q391</f>
        <v>0</v>
      </c>
      <c r="T391" s="49">
        <v>0</v>
      </c>
      <c r="U391" s="49">
        <f>T391+M391</f>
        <v>0</v>
      </c>
      <c r="V391" s="49">
        <f>T391+S391</f>
        <v>0</v>
      </c>
      <c r="W391" s="49"/>
      <c r="X391" s="49"/>
      <c r="Y391" s="49"/>
      <c r="Z391" s="49"/>
      <c r="AA391" s="49">
        <v>6730000</v>
      </c>
      <c r="AB391" s="49">
        <v>6730000</v>
      </c>
      <c r="AC391" s="49">
        <f t="shared" si="102"/>
        <v>0</v>
      </c>
      <c r="AD391" s="49">
        <f>AA391+T391+M391</f>
        <v>6730000</v>
      </c>
      <c r="AE391" s="49">
        <v>0</v>
      </c>
      <c r="AF391" s="49">
        <v>0</v>
      </c>
      <c r="AG391" s="49">
        <v>6520000</v>
      </c>
      <c r="AH391" s="49"/>
      <c r="AI391" s="49"/>
      <c r="AJ391" s="49"/>
      <c r="AK391" s="49">
        <f>Z391+Y391+X391+W391+N391+AG391+AJ391+AI391+AH391</f>
        <v>6520000</v>
      </c>
      <c r="AL391" s="49">
        <f>AK391/AD391*100</f>
        <v>96.879643387815747</v>
      </c>
      <c r="AM391" s="49"/>
      <c r="AN391" s="49"/>
      <c r="AO391" s="49"/>
      <c r="AP391" s="49"/>
      <c r="AQ391" s="49">
        <f>AK391+AM391+AN391+AO391+AP391</f>
        <v>6520000</v>
      </c>
      <c r="AR391" s="49">
        <f>AQ391/AB391*100</f>
        <v>96.879643387815747</v>
      </c>
      <c r="AS391" s="49">
        <f t="shared" si="98"/>
        <v>210000</v>
      </c>
      <c r="AT391" s="49">
        <v>3091500</v>
      </c>
      <c r="AU391" s="49">
        <f>AT391+U391</f>
        <v>3091500</v>
      </c>
      <c r="AV391" s="49">
        <f>AK391</f>
        <v>6520000</v>
      </c>
      <c r="AW391" s="72">
        <f>AV391/AU391*100</f>
        <v>210.90085718906678</v>
      </c>
      <c r="AX391" s="49">
        <f>AU391-AV391</f>
        <v>-3428500</v>
      </c>
      <c r="AY391" s="49">
        <f t="shared" si="95"/>
        <v>3.1203566121842496</v>
      </c>
      <c r="AZ391" s="73">
        <f t="shared" si="97"/>
        <v>6520000</v>
      </c>
    </row>
    <row r="392" spans="1:54" ht="20.100000000000001" customHeight="1">
      <c r="A392" s="68"/>
      <c r="B392" s="69"/>
      <c r="C392" s="240" t="s">
        <v>572</v>
      </c>
      <c r="D392" s="240"/>
      <c r="E392" s="241"/>
      <c r="F392" s="70"/>
      <c r="G392" s="71"/>
      <c r="H392" s="71"/>
      <c r="I392" s="240" t="s">
        <v>157</v>
      </c>
      <c r="J392" s="240"/>
      <c r="K392" s="241"/>
      <c r="L392" s="49"/>
      <c r="M392" s="49"/>
      <c r="N392" s="49"/>
      <c r="O392" s="49"/>
      <c r="P392" s="49"/>
      <c r="Q392" s="49"/>
      <c r="R392" s="72"/>
      <c r="S392" s="49"/>
      <c r="T392" s="49"/>
      <c r="U392" s="49"/>
      <c r="V392" s="49"/>
      <c r="W392" s="49"/>
      <c r="X392" s="49"/>
      <c r="Y392" s="49"/>
      <c r="Z392" s="49"/>
      <c r="AA392" s="49"/>
      <c r="AB392" s="49"/>
      <c r="AC392" s="49">
        <f t="shared" si="102"/>
        <v>0</v>
      </c>
      <c r="AD392" s="49"/>
      <c r="AE392" s="49"/>
      <c r="AF392" s="49"/>
      <c r="AG392" s="49"/>
      <c r="AH392" s="49"/>
      <c r="AI392" s="49"/>
      <c r="AJ392" s="49"/>
      <c r="AK392" s="49"/>
      <c r="AL392" s="49"/>
      <c r="AM392" s="49"/>
      <c r="AN392" s="49"/>
      <c r="AO392" s="49"/>
      <c r="AP392" s="49"/>
      <c r="AQ392" s="49"/>
      <c r="AR392" s="49"/>
      <c r="AS392" s="49"/>
      <c r="AT392" s="49"/>
      <c r="AU392" s="49"/>
      <c r="AV392" s="49"/>
      <c r="AW392" s="49"/>
      <c r="AX392" s="49"/>
      <c r="AY392" s="49"/>
      <c r="AZ392" s="73">
        <f t="shared" si="97"/>
        <v>0</v>
      </c>
    </row>
    <row r="393" spans="1:54" ht="20.100000000000001" customHeight="1">
      <c r="A393" s="68"/>
      <c r="B393" s="69"/>
      <c r="C393" s="240" t="s">
        <v>573</v>
      </c>
      <c r="D393" s="240"/>
      <c r="E393" s="241"/>
      <c r="F393" s="70"/>
      <c r="G393" s="71"/>
      <c r="H393" s="71"/>
      <c r="I393" s="71"/>
      <c r="J393" s="240" t="s">
        <v>159</v>
      </c>
      <c r="K393" s="241"/>
      <c r="L393" s="49">
        <v>10080000</v>
      </c>
      <c r="M393" s="49">
        <v>3360000</v>
      </c>
      <c r="N393" s="49"/>
      <c r="O393" s="49"/>
      <c r="P393" s="49"/>
      <c r="Q393" s="49">
        <f>SUM(N393:P393)</f>
        <v>0</v>
      </c>
      <c r="R393" s="72">
        <f>Q393/M393*100</f>
        <v>0</v>
      </c>
      <c r="S393" s="49">
        <f>M393-Q393</f>
        <v>3360000</v>
      </c>
      <c r="T393" s="49">
        <v>3360000</v>
      </c>
      <c r="U393" s="49">
        <f>T393+M393</f>
        <v>6720000</v>
      </c>
      <c r="V393" s="49">
        <f>T393+S393</f>
        <v>6720000</v>
      </c>
      <c r="W393" s="49"/>
      <c r="X393" s="49"/>
      <c r="Y393" s="49"/>
      <c r="Z393" s="49"/>
      <c r="AA393" s="49">
        <v>3360000</v>
      </c>
      <c r="AB393" s="49">
        <v>10080000</v>
      </c>
      <c r="AC393" s="49">
        <f t="shared" si="102"/>
        <v>0</v>
      </c>
      <c r="AD393" s="49">
        <f>AA393+T393+M393</f>
        <v>10080000</v>
      </c>
      <c r="AE393" s="49"/>
      <c r="AF393" s="49"/>
      <c r="AG393" s="49"/>
      <c r="AH393" s="49"/>
      <c r="AI393" s="49"/>
      <c r="AJ393" s="49"/>
      <c r="AK393" s="49">
        <f>Z393+Y393+X393+W393+N393+AG393+AJ393+AI393+AH393</f>
        <v>0</v>
      </c>
      <c r="AL393" s="49">
        <f>AK393/AD393*100</f>
        <v>0</v>
      </c>
      <c r="AM393" s="49"/>
      <c r="AN393" s="49"/>
      <c r="AO393" s="49"/>
      <c r="AP393" s="49"/>
      <c r="AQ393" s="49">
        <f>AK393+AM393+AN393+AO393+AP393</f>
        <v>0</v>
      </c>
      <c r="AR393" s="49">
        <f>AQ393/AB393*100</f>
        <v>0</v>
      </c>
      <c r="AS393" s="49">
        <f t="shared" si="98"/>
        <v>10080000</v>
      </c>
      <c r="AT393" s="49">
        <v>3091500</v>
      </c>
      <c r="AU393" s="49">
        <f>AT393+U393</f>
        <v>9811500</v>
      </c>
      <c r="AV393" s="49">
        <f>AK393</f>
        <v>0</v>
      </c>
      <c r="AW393" s="72">
        <f>AV393/AU393*100</f>
        <v>0</v>
      </c>
      <c r="AX393" s="49">
        <f>AU393-AV393</f>
        <v>9811500</v>
      </c>
      <c r="AY393" s="49">
        <f t="shared" si="95"/>
        <v>100</v>
      </c>
      <c r="AZ393" s="73">
        <f t="shared" si="97"/>
        <v>0</v>
      </c>
      <c r="BB393" s="29">
        <f>AS393</f>
        <v>10080000</v>
      </c>
    </row>
    <row r="394" spans="1:54" ht="20.100000000000001" customHeight="1">
      <c r="A394" s="68"/>
      <c r="B394" s="69"/>
      <c r="C394" s="240" t="s">
        <v>574</v>
      </c>
      <c r="D394" s="240"/>
      <c r="E394" s="241"/>
      <c r="F394" s="70"/>
      <c r="G394" s="71"/>
      <c r="H394" s="71"/>
      <c r="I394" s="71"/>
      <c r="J394" s="240" t="s">
        <v>207</v>
      </c>
      <c r="K394" s="241"/>
      <c r="L394" s="49">
        <v>20760000</v>
      </c>
      <c r="M394" s="49">
        <v>20760000</v>
      </c>
      <c r="N394" s="49">
        <v>0</v>
      </c>
      <c r="O394" s="49"/>
      <c r="P394" s="49"/>
      <c r="Q394" s="49">
        <f>SUM(N394:P394)</f>
        <v>0</v>
      </c>
      <c r="R394" s="72">
        <f>Q394/M394*100</f>
        <v>0</v>
      </c>
      <c r="S394" s="49">
        <f>M394-Q394</f>
        <v>20760000</v>
      </c>
      <c r="T394" s="49">
        <v>0</v>
      </c>
      <c r="U394" s="49">
        <f>T394+M394</f>
        <v>20760000</v>
      </c>
      <c r="V394" s="49">
        <f>T394+S394</f>
        <v>20760000</v>
      </c>
      <c r="W394" s="49"/>
      <c r="X394" s="49">
        <v>20760000</v>
      </c>
      <c r="Y394" s="49"/>
      <c r="Z394" s="49"/>
      <c r="AA394" s="49">
        <v>0</v>
      </c>
      <c r="AB394" s="49">
        <v>20760000</v>
      </c>
      <c r="AC394" s="49">
        <f t="shared" si="102"/>
        <v>0</v>
      </c>
      <c r="AD394" s="49">
        <f>AA394+T394+M394</f>
        <v>20760000</v>
      </c>
      <c r="AE394" s="49">
        <v>0</v>
      </c>
      <c r="AF394" s="49">
        <v>0</v>
      </c>
      <c r="AG394" s="49">
        <v>0</v>
      </c>
      <c r="AH394" s="49"/>
      <c r="AI394" s="49"/>
      <c r="AJ394" s="49"/>
      <c r="AK394" s="49">
        <f>Z394+Y394+X394+W394+N394+AG394+AJ394+AI394+AH394</f>
        <v>20760000</v>
      </c>
      <c r="AL394" s="49">
        <f>AK394/AD394*100</f>
        <v>100</v>
      </c>
      <c r="AM394" s="49"/>
      <c r="AN394" s="49"/>
      <c r="AO394" s="49"/>
      <c r="AP394" s="49"/>
      <c r="AQ394" s="49">
        <f>AK394+AM394+AN394+AO394+AP394</f>
        <v>20760000</v>
      </c>
      <c r="AR394" s="49">
        <f>AQ394/AB394*100</f>
        <v>100</v>
      </c>
      <c r="AS394" s="49">
        <f t="shared" si="98"/>
        <v>0</v>
      </c>
      <c r="AT394" s="49">
        <v>3091500</v>
      </c>
      <c r="AU394" s="49">
        <f>AT394+U394</f>
        <v>23851500</v>
      </c>
      <c r="AV394" s="49">
        <f>AK394</f>
        <v>20760000</v>
      </c>
      <c r="AW394" s="72">
        <f>AV394/AU394*100</f>
        <v>87.038551034526137</v>
      </c>
      <c r="AX394" s="49">
        <f>AU394-AV394</f>
        <v>3091500</v>
      </c>
      <c r="AY394" s="49">
        <f t="shared" si="95"/>
        <v>0</v>
      </c>
      <c r="AZ394" s="73">
        <f t="shared" si="97"/>
        <v>20760000</v>
      </c>
    </row>
    <row r="395" spans="1:54" ht="20.100000000000001" customHeight="1">
      <c r="A395" s="62">
        <v>26</v>
      </c>
      <c r="B395" s="63"/>
      <c r="C395" s="242" t="s">
        <v>575</v>
      </c>
      <c r="D395" s="242"/>
      <c r="E395" s="243"/>
      <c r="F395" s="64"/>
      <c r="G395" s="244" t="s">
        <v>576</v>
      </c>
      <c r="H395" s="244"/>
      <c r="I395" s="244"/>
      <c r="J395" s="244"/>
      <c r="K395" s="245"/>
      <c r="L395" s="65">
        <f>SUM(L398:L415)</f>
        <v>257000000</v>
      </c>
      <c r="M395" s="65">
        <f>SUM(M398:M415)</f>
        <v>19400000</v>
      </c>
      <c r="N395" s="65">
        <f>SUM(N398:N415)</f>
        <v>0</v>
      </c>
      <c r="O395" s="65">
        <f>SUM(O398:O415)</f>
        <v>0</v>
      </c>
      <c r="P395" s="65">
        <f>SUM(P398:P415)</f>
        <v>0</v>
      </c>
      <c r="Q395" s="65">
        <f>SUM(N395:P395)</f>
        <v>0</v>
      </c>
      <c r="R395" s="66">
        <f>Q395/M395*100</f>
        <v>0</v>
      </c>
      <c r="S395" s="65">
        <f>M395-Q395</f>
        <v>19400000</v>
      </c>
      <c r="T395" s="65">
        <f>SUM(T398:T415)</f>
        <v>46482500</v>
      </c>
      <c r="U395" s="65">
        <f>T395+M395</f>
        <v>65882500</v>
      </c>
      <c r="V395" s="65">
        <f>T395+S395</f>
        <v>65882500</v>
      </c>
      <c r="W395" s="65">
        <f>SUM(W398:W415)</f>
        <v>0</v>
      </c>
      <c r="X395" s="65">
        <f>SUM(X398:X415)</f>
        <v>12900000</v>
      </c>
      <c r="Y395" s="65">
        <f>SUM(Y398:Y415)</f>
        <v>0</v>
      </c>
      <c r="Z395" s="65"/>
      <c r="AA395" s="65">
        <f>SUM(AA398:AA415)</f>
        <v>157283000</v>
      </c>
      <c r="AB395" s="65">
        <f>SUM(AB398:AB415)</f>
        <v>257000000</v>
      </c>
      <c r="AC395" s="65">
        <f t="shared" si="102"/>
        <v>0</v>
      </c>
      <c r="AD395" s="65">
        <f>AA395+T395+M395</f>
        <v>223165500</v>
      </c>
      <c r="AE395" s="65">
        <f t="shared" ref="AE395:AK395" si="104">SUM(AE398:AE415)</f>
        <v>10750000</v>
      </c>
      <c r="AF395" s="65">
        <f t="shared" si="104"/>
        <v>0</v>
      </c>
      <c r="AG395" s="65">
        <f t="shared" si="104"/>
        <v>0</v>
      </c>
      <c r="AH395" s="65">
        <f t="shared" si="104"/>
        <v>0</v>
      </c>
      <c r="AI395" s="65">
        <f t="shared" si="104"/>
        <v>0</v>
      </c>
      <c r="AJ395" s="65">
        <f t="shared" si="104"/>
        <v>0</v>
      </c>
      <c r="AK395" s="65">
        <f t="shared" si="104"/>
        <v>23650000</v>
      </c>
      <c r="AL395" s="65">
        <f>AK395/AB395*100</f>
        <v>9.2023346303501956</v>
      </c>
      <c r="AM395" s="65">
        <f>SUM(AM398:AM415)</f>
        <v>0</v>
      </c>
      <c r="AN395" s="65">
        <f>SUM(AN398:AN415)</f>
        <v>109017400</v>
      </c>
      <c r="AO395" s="65">
        <f>SUM(AO398:AO415)</f>
        <v>0</v>
      </c>
      <c r="AP395" s="42">
        <f>SUM(AP398:AP415)</f>
        <v>50232500</v>
      </c>
      <c r="AQ395" s="65">
        <f>AK395+AM395+AN395+AO395+AP395</f>
        <v>182899900</v>
      </c>
      <c r="AR395" s="65">
        <f>AQ395/AB395*100</f>
        <v>71.167276264591436</v>
      </c>
      <c r="AS395" s="65">
        <f>AB395-AQ395</f>
        <v>74100100</v>
      </c>
      <c r="AT395" s="65">
        <f>SUM(AT398:AT404)</f>
        <v>12366000</v>
      </c>
      <c r="AU395" s="65">
        <f>AT395+U395</f>
        <v>78248500</v>
      </c>
      <c r="AV395" s="65">
        <f>AK395</f>
        <v>23650000</v>
      </c>
      <c r="AW395" s="66">
        <f>AV395/AU395*100</f>
        <v>30.224221550572857</v>
      </c>
      <c r="AX395" s="65">
        <f>AU395-AV395</f>
        <v>54598500</v>
      </c>
      <c r="AY395" s="65">
        <f>AS395/AB395*100</f>
        <v>28.83272373540856</v>
      </c>
      <c r="AZ395" s="67">
        <f>AQ395-AO395-AN395</f>
        <v>73882500</v>
      </c>
      <c r="BA395" s="29">
        <f>AS395</f>
        <v>74100100</v>
      </c>
    </row>
    <row r="396" spans="1:54" ht="20.100000000000001" customHeight="1">
      <c r="A396" s="68"/>
      <c r="B396" s="69"/>
      <c r="C396" s="240" t="s">
        <v>577</v>
      </c>
      <c r="D396" s="240"/>
      <c r="E396" s="241"/>
      <c r="F396" s="70"/>
      <c r="G396" s="71"/>
      <c r="H396" s="240" t="s">
        <v>10</v>
      </c>
      <c r="I396" s="240"/>
      <c r="J396" s="240"/>
      <c r="K396" s="241"/>
      <c r="L396" s="49"/>
      <c r="M396" s="49"/>
      <c r="N396" s="49"/>
      <c r="O396" s="49"/>
      <c r="P396" s="49"/>
      <c r="Q396" s="49"/>
      <c r="R396" s="72"/>
      <c r="S396" s="49"/>
      <c r="T396" s="49"/>
      <c r="U396" s="49"/>
      <c r="V396" s="49"/>
      <c r="W396" s="49"/>
      <c r="X396" s="49"/>
      <c r="Y396" s="49"/>
      <c r="Z396" s="49"/>
      <c r="AA396" s="49"/>
      <c r="AB396" s="49"/>
      <c r="AC396" s="49">
        <f t="shared" si="102"/>
        <v>0</v>
      </c>
      <c r="AD396" s="49"/>
      <c r="AE396" s="49"/>
      <c r="AF396" s="49"/>
      <c r="AG396" s="49"/>
      <c r="AH396" s="49"/>
      <c r="AI396" s="49"/>
      <c r="AJ396" s="49"/>
      <c r="AK396" s="49"/>
      <c r="AL396" s="49"/>
      <c r="AM396" s="49"/>
      <c r="AN396" s="49"/>
      <c r="AO396" s="49"/>
      <c r="AP396" s="42"/>
      <c r="AQ396" s="49"/>
      <c r="AR396" s="49"/>
      <c r="AS396" s="49"/>
      <c r="AT396" s="49"/>
      <c r="AU396" s="49"/>
      <c r="AV396" s="49"/>
      <c r="AW396" s="49"/>
      <c r="AX396" s="49"/>
      <c r="AY396" s="49"/>
      <c r="AZ396" s="73">
        <f t="shared" si="97"/>
        <v>0</v>
      </c>
    </row>
    <row r="397" spans="1:54" ht="20.100000000000001" customHeight="1">
      <c r="A397" s="68"/>
      <c r="B397" s="69"/>
      <c r="C397" s="240" t="s">
        <v>578</v>
      </c>
      <c r="D397" s="240"/>
      <c r="E397" s="241"/>
      <c r="F397" s="70"/>
      <c r="G397" s="71"/>
      <c r="H397" s="71"/>
      <c r="I397" s="240" t="s">
        <v>177</v>
      </c>
      <c r="J397" s="240"/>
      <c r="K397" s="241"/>
      <c r="L397" s="49"/>
      <c r="M397" s="49"/>
      <c r="N397" s="49"/>
      <c r="O397" s="49"/>
      <c r="P397" s="49"/>
      <c r="Q397" s="49"/>
      <c r="R397" s="72"/>
      <c r="S397" s="49"/>
      <c r="T397" s="49"/>
      <c r="U397" s="49"/>
      <c r="V397" s="49"/>
      <c r="W397" s="49"/>
      <c r="X397" s="49"/>
      <c r="Y397" s="49"/>
      <c r="Z397" s="49"/>
      <c r="AA397" s="49"/>
      <c r="AB397" s="49"/>
      <c r="AC397" s="49">
        <f t="shared" si="102"/>
        <v>0</v>
      </c>
      <c r="AD397" s="49"/>
      <c r="AE397" s="49"/>
      <c r="AF397" s="49"/>
      <c r="AG397" s="49"/>
      <c r="AH397" s="49"/>
      <c r="AI397" s="49"/>
      <c r="AJ397" s="49"/>
      <c r="AK397" s="49"/>
      <c r="AL397" s="49"/>
      <c r="AM397" s="49"/>
      <c r="AN397" s="49"/>
      <c r="AO397" s="49"/>
      <c r="AP397" s="42"/>
      <c r="AQ397" s="49"/>
      <c r="AR397" s="49"/>
      <c r="AS397" s="49"/>
      <c r="AT397" s="49"/>
      <c r="AU397" s="49"/>
      <c r="AV397" s="49"/>
      <c r="AW397" s="49"/>
      <c r="AX397" s="49"/>
      <c r="AY397" s="49"/>
      <c r="AZ397" s="73">
        <f t="shared" si="97"/>
        <v>0</v>
      </c>
    </row>
    <row r="398" spans="1:54" ht="20.100000000000001" customHeight="1">
      <c r="A398" s="68"/>
      <c r="B398" s="69"/>
      <c r="C398" s="240" t="s">
        <v>579</v>
      </c>
      <c r="D398" s="240"/>
      <c r="E398" s="241"/>
      <c r="F398" s="70"/>
      <c r="G398" s="71"/>
      <c r="H398" s="71"/>
      <c r="I398" s="71"/>
      <c r="J398" s="240" t="s">
        <v>283</v>
      </c>
      <c r="K398" s="241"/>
      <c r="L398" s="49">
        <v>15500000</v>
      </c>
      <c r="M398" s="49">
        <v>0</v>
      </c>
      <c r="N398" s="49"/>
      <c r="O398" s="49"/>
      <c r="P398" s="49"/>
      <c r="Q398" s="49">
        <f>SUM(N398:P398)</f>
        <v>0</v>
      </c>
      <c r="R398" s="72"/>
      <c r="S398" s="49">
        <f>M398-Q398</f>
        <v>0</v>
      </c>
      <c r="T398" s="49">
        <v>6200000</v>
      </c>
      <c r="U398" s="49">
        <f>T398+M398</f>
        <v>6200000</v>
      </c>
      <c r="V398" s="49">
        <f>T398+S398</f>
        <v>6200000</v>
      </c>
      <c r="W398" s="49"/>
      <c r="X398" s="49"/>
      <c r="Y398" s="49"/>
      <c r="Z398" s="49"/>
      <c r="AA398" s="49">
        <v>9300000</v>
      </c>
      <c r="AB398" s="49">
        <v>18300000</v>
      </c>
      <c r="AC398" s="49">
        <f t="shared" si="102"/>
        <v>2800000</v>
      </c>
      <c r="AD398" s="49">
        <f>AA398+T398+M398</f>
        <v>15500000</v>
      </c>
      <c r="AE398" s="49"/>
      <c r="AF398" s="49"/>
      <c r="AG398" s="49"/>
      <c r="AH398" s="49"/>
      <c r="AI398" s="49"/>
      <c r="AJ398" s="49"/>
      <c r="AK398" s="49">
        <f>Z398+Y398+X398+W398+N398+AG398+AJ398+AI398+AH398</f>
        <v>0</v>
      </c>
      <c r="AL398" s="49">
        <f>AK398/AD398*100</f>
        <v>0</v>
      </c>
      <c r="AM398" s="49"/>
      <c r="AN398" s="49">
        <v>7800000</v>
      </c>
      <c r="AO398" s="49"/>
      <c r="AP398" s="42">
        <v>2600000</v>
      </c>
      <c r="AQ398" s="49">
        <f>AK398+AM398+AN398+AO398+AP398</f>
        <v>10400000</v>
      </c>
      <c r="AR398" s="49">
        <f>AQ398/AB398*100</f>
        <v>56.830601092896174</v>
      </c>
      <c r="AS398" s="49">
        <f t="shared" si="98"/>
        <v>7900000</v>
      </c>
      <c r="AT398" s="49">
        <v>3091500</v>
      </c>
      <c r="AU398" s="49">
        <f>AT398+U398</f>
        <v>9291500</v>
      </c>
      <c r="AV398" s="49">
        <f>AK398</f>
        <v>0</v>
      </c>
      <c r="AW398" s="72">
        <f>AV398/AU398*100</f>
        <v>0</v>
      </c>
      <c r="AX398" s="49">
        <f>AU398-AV398</f>
        <v>9291500</v>
      </c>
      <c r="AY398" s="49">
        <f t="shared" si="95"/>
        <v>43.169398907103826</v>
      </c>
      <c r="AZ398" s="73">
        <f t="shared" si="97"/>
        <v>10400000</v>
      </c>
    </row>
    <row r="399" spans="1:54" ht="20.100000000000001" customHeight="1">
      <c r="A399" s="68"/>
      <c r="B399" s="69"/>
      <c r="C399" s="240" t="s">
        <v>580</v>
      </c>
      <c r="D399" s="240"/>
      <c r="E399" s="241"/>
      <c r="F399" s="70"/>
      <c r="G399" s="71"/>
      <c r="H399" s="71"/>
      <c r="I399" s="71"/>
      <c r="J399" s="240" t="s">
        <v>581</v>
      </c>
      <c r="K399" s="241"/>
      <c r="L399" s="49">
        <v>0</v>
      </c>
      <c r="M399" s="49">
        <v>0</v>
      </c>
      <c r="N399" s="49"/>
      <c r="O399" s="49"/>
      <c r="P399" s="49"/>
      <c r="Q399" s="49">
        <f>SUM(N399:P399)</f>
        <v>0</v>
      </c>
      <c r="R399" s="72"/>
      <c r="S399" s="49">
        <f>M399-Q399</f>
        <v>0</v>
      </c>
      <c r="T399" s="49">
        <v>6200000</v>
      </c>
      <c r="U399" s="49">
        <f>T399+M399</f>
        <v>6200000</v>
      </c>
      <c r="V399" s="49">
        <f>T399+S399</f>
        <v>6200000</v>
      </c>
      <c r="W399" s="49"/>
      <c r="X399" s="49"/>
      <c r="Y399" s="49"/>
      <c r="Z399" s="49"/>
      <c r="AA399" s="49">
        <v>9300000</v>
      </c>
      <c r="AB399" s="49">
        <v>32000000</v>
      </c>
      <c r="AC399" s="49">
        <f>AB399-L399</f>
        <v>32000000</v>
      </c>
      <c r="AD399" s="49">
        <f>AA399+T399+M399</f>
        <v>15500000</v>
      </c>
      <c r="AE399" s="49"/>
      <c r="AF399" s="49"/>
      <c r="AG399" s="49"/>
      <c r="AH399" s="49"/>
      <c r="AI399" s="49"/>
      <c r="AJ399" s="49"/>
      <c r="AK399" s="49">
        <f>Z399+Y399+X399+W399+N399+AG399+AJ399+AI399+AH399</f>
        <v>0</v>
      </c>
      <c r="AL399" s="49">
        <f>AK399/AD399*100</f>
        <v>0</v>
      </c>
      <c r="AM399" s="49"/>
      <c r="AN399" s="49">
        <v>25600000</v>
      </c>
      <c r="AO399" s="49"/>
      <c r="AP399" s="42">
        <v>6400000</v>
      </c>
      <c r="AQ399" s="49">
        <f>AK399+AM399+AN399+AO399+AP399</f>
        <v>32000000</v>
      </c>
      <c r="AR399" s="49">
        <f>AQ399/AB399*100</f>
        <v>100</v>
      </c>
      <c r="AS399" s="49">
        <f t="shared" si="98"/>
        <v>0</v>
      </c>
      <c r="AT399" s="49">
        <v>3091500</v>
      </c>
      <c r="AU399" s="49">
        <f>AT399+U399</f>
        <v>9291500</v>
      </c>
      <c r="AV399" s="49">
        <f>AK399</f>
        <v>0</v>
      </c>
      <c r="AW399" s="72">
        <f>AV399/AU399*100</f>
        <v>0</v>
      </c>
      <c r="AX399" s="49">
        <f>AU399-AV399</f>
        <v>9291500</v>
      </c>
      <c r="AY399" s="49">
        <f t="shared" si="95"/>
        <v>0</v>
      </c>
      <c r="AZ399" s="73">
        <f t="shared" si="97"/>
        <v>32000000</v>
      </c>
    </row>
    <row r="400" spans="1:54" ht="20.100000000000001" customHeight="1">
      <c r="A400" s="68"/>
      <c r="B400" s="69"/>
      <c r="C400" s="240" t="s">
        <v>582</v>
      </c>
      <c r="D400" s="240"/>
      <c r="E400" s="241"/>
      <c r="F400" s="70"/>
      <c r="G400" s="71"/>
      <c r="H400" s="240" t="s">
        <v>143</v>
      </c>
      <c r="I400" s="240"/>
      <c r="J400" s="240"/>
      <c r="K400" s="241"/>
      <c r="L400" s="49"/>
      <c r="M400" s="49"/>
      <c r="N400" s="49"/>
      <c r="O400" s="49"/>
      <c r="P400" s="49"/>
      <c r="Q400" s="49"/>
      <c r="R400" s="72"/>
      <c r="S400" s="49"/>
      <c r="T400" s="49"/>
      <c r="U400" s="49"/>
      <c r="V400" s="49"/>
      <c r="W400" s="49"/>
      <c r="X400" s="49"/>
      <c r="Y400" s="49"/>
      <c r="Z400" s="49"/>
      <c r="AA400" s="49"/>
      <c r="AB400" s="49"/>
      <c r="AC400" s="49">
        <f t="shared" si="102"/>
        <v>0</v>
      </c>
      <c r="AD400" s="49"/>
      <c r="AE400" s="49"/>
      <c r="AF400" s="49"/>
      <c r="AG400" s="49"/>
      <c r="AH400" s="49"/>
      <c r="AI400" s="49"/>
      <c r="AJ400" s="49"/>
      <c r="AK400" s="49"/>
      <c r="AL400" s="49"/>
      <c r="AM400" s="49"/>
      <c r="AN400" s="49"/>
      <c r="AO400" s="49"/>
      <c r="AP400" s="42"/>
      <c r="AQ400" s="49"/>
      <c r="AR400" s="49"/>
      <c r="AS400" s="49"/>
      <c r="AT400" s="49"/>
      <c r="AU400" s="49"/>
      <c r="AV400" s="49"/>
      <c r="AW400" s="49"/>
      <c r="AX400" s="49"/>
      <c r="AY400" s="49"/>
      <c r="AZ400" s="73">
        <f t="shared" si="97"/>
        <v>0</v>
      </c>
    </row>
    <row r="401" spans="1:54" ht="20.100000000000001" customHeight="1">
      <c r="A401" s="68"/>
      <c r="B401" s="69"/>
      <c r="C401" s="240" t="s">
        <v>583</v>
      </c>
      <c r="D401" s="240"/>
      <c r="E401" s="241"/>
      <c r="F401" s="70"/>
      <c r="G401" s="71"/>
      <c r="H401" s="71"/>
      <c r="I401" s="240" t="s">
        <v>145</v>
      </c>
      <c r="J401" s="240"/>
      <c r="K401" s="241"/>
      <c r="L401" s="49"/>
      <c r="M401" s="49"/>
      <c r="N401" s="49"/>
      <c r="O401" s="49"/>
      <c r="P401" s="49"/>
      <c r="Q401" s="49"/>
      <c r="R401" s="72"/>
      <c r="S401" s="49"/>
      <c r="T401" s="49"/>
      <c r="U401" s="49"/>
      <c r="V401" s="49"/>
      <c r="W401" s="49"/>
      <c r="X401" s="49"/>
      <c r="Y401" s="49"/>
      <c r="Z401" s="49"/>
      <c r="AA401" s="49"/>
      <c r="AB401" s="49"/>
      <c r="AC401" s="49">
        <f t="shared" si="102"/>
        <v>0</v>
      </c>
      <c r="AD401" s="49"/>
      <c r="AE401" s="49"/>
      <c r="AF401" s="49"/>
      <c r="AG401" s="49"/>
      <c r="AH401" s="49"/>
      <c r="AI401" s="49"/>
      <c r="AJ401" s="49"/>
      <c r="AK401" s="49"/>
      <c r="AL401" s="49"/>
      <c r="AM401" s="49"/>
      <c r="AN401" s="49"/>
      <c r="AO401" s="49"/>
      <c r="AP401" s="42"/>
      <c r="AQ401" s="49"/>
      <c r="AR401" s="49"/>
      <c r="AS401" s="49"/>
      <c r="AT401" s="49"/>
      <c r="AU401" s="49"/>
      <c r="AV401" s="49"/>
      <c r="AW401" s="49"/>
      <c r="AX401" s="49"/>
      <c r="AY401" s="49"/>
      <c r="AZ401" s="73">
        <f t="shared" si="97"/>
        <v>0</v>
      </c>
    </row>
    <row r="402" spans="1:54" ht="20.100000000000001" customHeight="1">
      <c r="A402" s="68"/>
      <c r="B402" s="69"/>
      <c r="C402" s="240" t="s">
        <v>584</v>
      </c>
      <c r="D402" s="240"/>
      <c r="E402" s="241"/>
      <c r="F402" s="70"/>
      <c r="G402" s="71"/>
      <c r="H402" s="71"/>
      <c r="I402" s="71"/>
      <c r="J402" s="240" t="s">
        <v>147</v>
      </c>
      <c r="K402" s="241"/>
      <c r="L402" s="49">
        <v>827000</v>
      </c>
      <c r="M402" s="49">
        <v>0</v>
      </c>
      <c r="N402" s="49"/>
      <c r="O402" s="49"/>
      <c r="P402" s="49"/>
      <c r="Q402" s="49">
        <f>SUM(N402:P402)</f>
        <v>0</v>
      </c>
      <c r="R402" s="72"/>
      <c r="S402" s="49">
        <f>M402-Q402</f>
        <v>0</v>
      </c>
      <c r="T402" s="49">
        <v>0</v>
      </c>
      <c r="U402" s="49">
        <f>T402+M402</f>
        <v>0</v>
      </c>
      <c r="V402" s="49">
        <f>T402+S402</f>
        <v>0</v>
      </c>
      <c r="W402" s="49"/>
      <c r="X402" s="49"/>
      <c r="Y402" s="49"/>
      <c r="Z402" s="49"/>
      <c r="AA402" s="49">
        <v>827000</v>
      </c>
      <c r="AB402" s="49">
        <v>827000</v>
      </c>
      <c r="AC402" s="49">
        <f t="shared" si="102"/>
        <v>0</v>
      </c>
      <c r="AD402" s="49">
        <f>AA402+T402+M402</f>
        <v>827000</v>
      </c>
      <c r="AE402" s="49"/>
      <c r="AF402" s="49"/>
      <c r="AG402" s="49"/>
      <c r="AH402" s="49"/>
      <c r="AI402" s="49"/>
      <c r="AJ402" s="49"/>
      <c r="AK402" s="49">
        <f>Z402+Y402+X402+W402+N402+AG402+AJ402+AI402+AH402</f>
        <v>0</v>
      </c>
      <c r="AL402" s="49">
        <f>AK402/AD402*100</f>
        <v>0</v>
      </c>
      <c r="AM402" s="49"/>
      <c r="AN402" s="49">
        <v>827000</v>
      </c>
      <c r="AO402" s="49"/>
      <c r="AP402" s="42"/>
      <c r="AQ402" s="49">
        <f>AK402+AM402+AN402+AO402+AP402</f>
        <v>827000</v>
      </c>
      <c r="AR402" s="49">
        <f>AQ402/AB402*100</f>
        <v>100</v>
      </c>
      <c r="AS402" s="49">
        <f t="shared" si="98"/>
        <v>0</v>
      </c>
      <c r="AT402" s="49">
        <v>3091500</v>
      </c>
      <c r="AU402" s="49">
        <f>AT402+U402</f>
        <v>3091500</v>
      </c>
      <c r="AV402" s="49">
        <f>AK402</f>
        <v>0</v>
      </c>
      <c r="AW402" s="72">
        <f>AV402/AU402*100</f>
        <v>0</v>
      </c>
      <c r="AX402" s="49">
        <f>AU402-AV402</f>
        <v>3091500</v>
      </c>
      <c r="AY402" s="49">
        <f t="shared" si="95"/>
        <v>0</v>
      </c>
      <c r="AZ402" s="73">
        <f t="shared" si="97"/>
        <v>827000</v>
      </c>
    </row>
    <row r="403" spans="1:54" ht="20.100000000000001" customHeight="1">
      <c r="A403" s="68"/>
      <c r="B403" s="69"/>
      <c r="C403" s="240" t="s">
        <v>585</v>
      </c>
      <c r="D403" s="240"/>
      <c r="E403" s="241"/>
      <c r="F403" s="70"/>
      <c r="G403" s="71"/>
      <c r="H403" s="71"/>
      <c r="I403" s="240" t="s">
        <v>163</v>
      </c>
      <c r="J403" s="240"/>
      <c r="K403" s="241"/>
      <c r="L403" s="49"/>
      <c r="M403" s="49"/>
      <c r="N403" s="49"/>
      <c r="O403" s="49"/>
      <c r="P403" s="49"/>
      <c r="Q403" s="49"/>
      <c r="R403" s="72"/>
      <c r="S403" s="49"/>
      <c r="T403" s="49"/>
      <c r="U403" s="49"/>
      <c r="V403" s="49"/>
      <c r="W403" s="49"/>
      <c r="X403" s="49"/>
      <c r="Y403" s="49"/>
      <c r="Z403" s="49"/>
      <c r="AA403" s="49"/>
      <c r="AB403" s="49"/>
      <c r="AC403" s="49">
        <f t="shared" si="102"/>
        <v>0</v>
      </c>
      <c r="AD403" s="49"/>
      <c r="AE403" s="49"/>
      <c r="AF403" s="49"/>
      <c r="AG403" s="49"/>
      <c r="AH403" s="49"/>
      <c r="AI403" s="49"/>
      <c r="AJ403" s="49"/>
      <c r="AK403" s="49"/>
      <c r="AL403" s="49"/>
      <c r="AM403" s="49"/>
      <c r="AN403" s="49"/>
      <c r="AO403" s="49"/>
      <c r="AP403" s="42"/>
      <c r="AQ403" s="49"/>
      <c r="AR403" s="49"/>
      <c r="AS403" s="49"/>
      <c r="AT403" s="49"/>
      <c r="AU403" s="49"/>
      <c r="AV403" s="49"/>
      <c r="AW403" s="49"/>
      <c r="AX403" s="49"/>
      <c r="AY403" s="49"/>
      <c r="AZ403" s="73">
        <f t="shared" si="97"/>
        <v>0</v>
      </c>
    </row>
    <row r="404" spans="1:54" ht="20.100000000000001" customHeight="1">
      <c r="A404" s="68"/>
      <c r="B404" s="69"/>
      <c r="C404" s="240" t="s">
        <v>586</v>
      </c>
      <c r="D404" s="240"/>
      <c r="E404" s="241"/>
      <c r="F404" s="70"/>
      <c r="G404" s="71"/>
      <c r="H404" s="71"/>
      <c r="I404" s="71"/>
      <c r="J404" s="240" t="s">
        <v>447</v>
      </c>
      <c r="K404" s="241"/>
      <c r="L404" s="49">
        <v>0</v>
      </c>
      <c r="M404" s="49">
        <v>0</v>
      </c>
      <c r="N404" s="49"/>
      <c r="O404" s="49"/>
      <c r="P404" s="49"/>
      <c r="Q404" s="49">
        <f>SUM(N404:P404)</f>
        <v>0</v>
      </c>
      <c r="R404" s="72"/>
      <c r="S404" s="49">
        <f>M404-Q404</f>
        <v>0</v>
      </c>
      <c r="T404" s="49">
        <v>0</v>
      </c>
      <c r="U404" s="49">
        <f>T404+M404</f>
        <v>0</v>
      </c>
      <c r="V404" s="49">
        <f>T404+S404</f>
        <v>0</v>
      </c>
      <c r="W404" s="49"/>
      <c r="X404" s="49"/>
      <c r="Y404" s="49"/>
      <c r="Z404" s="49"/>
      <c r="AA404" s="49">
        <v>42500000</v>
      </c>
      <c r="AB404" s="49">
        <v>15000000</v>
      </c>
      <c r="AC404" s="49">
        <f>AB404-L404</f>
        <v>15000000</v>
      </c>
      <c r="AD404" s="49">
        <f>AA404+T404+M404</f>
        <v>42500000</v>
      </c>
      <c r="AE404" s="49"/>
      <c r="AF404" s="49"/>
      <c r="AG404" s="49"/>
      <c r="AH404" s="49"/>
      <c r="AI404" s="49"/>
      <c r="AJ404" s="49"/>
      <c r="AK404" s="49">
        <f>Z404+Y404+X404+W404+N404+AG404+AJ404+AI404+AH404</f>
        <v>0</v>
      </c>
      <c r="AL404" s="49">
        <f>AK404/AD404*100</f>
        <v>0</v>
      </c>
      <c r="AM404" s="49"/>
      <c r="AN404" s="49"/>
      <c r="AO404" s="49"/>
      <c r="AP404" s="42"/>
      <c r="AQ404" s="49">
        <f>AK404+AM404+AN404+AO404+AP404</f>
        <v>0</v>
      </c>
      <c r="AR404" s="49">
        <f>AQ404/AB404*100</f>
        <v>0</v>
      </c>
      <c r="AS404" s="49">
        <f t="shared" si="98"/>
        <v>15000000</v>
      </c>
      <c r="AT404" s="49">
        <v>3091500</v>
      </c>
      <c r="AU404" s="49">
        <f>AT404+U404</f>
        <v>3091500</v>
      </c>
      <c r="AV404" s="49">
        <f>AK404</f>
        <v>0</v>
      </c>
      <c r="AW404" s="72">
        <f>AV404/AU404*100</f>
        <v>0</v>
      </c>
      <c r="AX404" s="49">
        <f>AU404-AV404</f>
        <v>3091500</v>
      </c>
      <c r="AY404" s="49">
        <f t="shared" si="95"/>
        <v>100</v>
      </c>
      <c r="AZ404" s="73">
        <f t="shared" si="97"/>
        <v>0</v>
      </c>
    </row>
    <row r="405" spans="1:54" ht="20.100000000000001" customHeight="1">
      <c r="A405" s="68"/>
      <c r="B405" s="69"/>
      <c r="C405" s="240" t="s">
        <v>587</v>
      </c>
      <c r="D405" s="240"/>
      <c r="E405" s="241"/>
      <c r="F405" s="70"/>
      <c r="G405" s="71"/>
      <c r="H405" s="71"/>
      <c r="I405" s="71"/>
      <c r="J405" s="240" t="s">
        <v>352</v>
      </c>
      <c r="K405" s="241"/>
      <c r="L405" s="49">
        <v>42500000</v>
      </c>
      <c r="M405" s="49">
        <v>0</v>
      </c>
      <c r="N405" s="49"/>
      <c r="O405" s="49"/>
      <c r="P405" s="49"/>
      <c r="Q405" s="49">
        <f>SUM(N405:P405)</f>
        <v>0</v>
      </c>
      <c r="R405" s="72"/>
      <c r="S405" s="49">
        <f>M405-Q405</f>
        <v>0</v>
      </c>
      <c r="T405" s="49">
        <v>0</v>
      </c>
      <c r="U405" s="49">
        <f>T405+M405</f>
        <v>0</v>
      </c>
      <c r="V405" s="49">
        <f>T405+S405</f>
        <v>0</v>
      </c>
      <c r="W405" s="49"/>
      <c r="X405" s="49"/>
      <c r="Y405" s="49"/>
      <c r="Z405" s="49"/>
      <c r="AA405" s="49">
        <v>42500000</v>
      </c>
      <c r="AB405" s="49">
        <v>42500000</v>
      </c>
      <c r="AC405" s="49">
        <f t="shared" si="102"/>
        <v>0</v>
      </c>
      <c r="AD405" s="49">
        <f>AA405+T405+M405</f>
        <v>42500000</v>
      </c>
      <c r="AE405" s="49"/>
      <c r="AF405" s="49"/>
      <c r="AG405" s="49"/>
      <c r="AH405" s="49"/>
      <c r="AI405" s="49"/>
      <c r="AJ405" s="49"/>
      <c r="AK405" s="49">
        <f>Z405+Y405+X405+W405+N405+AG405+AJ405+AI405+AH405</f>
        <v>0</v>
      </c>
      <c r="AL405" s="49">
        <f>AK405/AD405*100</f>
        <v>0</v>
      </c>
      <c r="AM405" s="49"/>
      <c r="AN405" s="49">
        <v>40000000</v>
      </c>
      <c r="AO405" s="49"/>
      <c r="AP405" s="42"/>
      <c r="AQ405" s="49">
        <f>AK405+AM405+AN405+AO405+AP405</f>
        <v>40000000</v>
      </c>
      <c r="AR405" s="49">
        <f>AQ405/AB405*100</f>
        <v>94.117647058823522</v>
      </c>
      <c r="AS405" s="49">
        <f t="shared" si="98"/>
        <v>2500000</v>
      </c>
      <c r="AT405" s="49">
        <v>3091500</v>
      </c>
      <c r="AU405" s="49">
        <f>AT405+U405</f>
        <v>3091500</v>
      </c>
      <c r="AV405" s="49">
        <f>AK405</f>
        <v>0</v>
      </c>
      <c r="AW405" s="72">
        <f>AV405/AU405*100</f>
        <v>0</v>
      </c>
      <c r="AX405" s="49">
        <f>AU405-AV405</f>
        <v>3091500</v>
      </c>
      <c r="AY405" s="49">
        <f t="shared" si="95"/>
        <v>5.8823529411764701</v>
      </c>
      <c r="AZ405" s="73">
        <f t="shared" si="97"/>
        <v>40000000</v>
      </c>
    </row>
    <row r="406" spans="1:54" ht="20.100000000000001" customHeight="1">
      <c r="A406" s="68"/>
      <c r="B406" s="69"/>
      <c r="C406" s="240" t="s">
        <v>588</v>
      </c>
      <c r="D406" s="240"/>
      <c r="E406" s="241"/>
      <c r="F406" s="70"/>
      <c r="G406" s="71"/>
      <c r="H406" s="71"/>
      <c r="I406" s="240" t="s">
        <v>151</v>
      </c>
      <c r="J406" s="240"/>
      <c r="K406" s="241"/>
      <c r="L406" s="49"/>
      <c r="M406" s="49"/>
      <c r="N406" s="49"/>
      <c r="O406" s="49"/>
      <c r="P406" s="49"/>
      <c r="Q406" s="49"/>
      <c r="R406" s="72"/>
      <c r="S406" s="49"/>
      <c r="T406" s="49"/>
      <c r="U406" s="49"/>
      <c r="V406" s="49"/>
      <c r="W406" s="49"/>
      <c r="X406" s="49"/>
      <c r="Y406" s="49"/>
      <c r="Z406" s="49"/>
      <c r="AA406" s="49"/>
      <c r="AB406" s="49"/>
      <c r="AC406" s="49">
        <f t="shared" si="102"/>
        <v>0</v>
      </c>
      <c r="AD406" s="49"/>
      <c r="AE406" s="49"/>
      <c r="AF406" s="49"/>
      <c r="AG406" s="49"/>
      <c r="AH406" s="49"/>
      <c r="AI406" s="49"/>
      <c r="AJ406" s="49"/>
      <c r="AK406" s="49"/>
      <c r="AL406" s="49"/>
      <c r="AM406" s="49"/>
      <c r="AN406" s="49"/>
      <c r="AO406" s="49"/>
      <c r="AP406" s="42"/>
      <c r="AQ406" s="49"/>
      <c r="AR406" s="49"/>
      <c r="AS406" s="49"/>
      <c r="AT406" s="49"/>
      <c r="AU406" s="49"/>
      <c r="AV406" s="49"/>
      <c r="AW406" s="49"/>
      <c r="AX406" s="49"/>
      <c r="AY406" s="49"/>
      <c r="AZ406" s="73">
        <f t="shared" si="97"/>
        <v>0</v>
      </c>
    </row>
    <row r="407" spans="1:54" ht="20.100000000000001" customHeight="1">
      <c r="A407" s="68"/>
      <c r="B407" s="69"/>
      <c r="C407" s="240" t="s">
        <v>589</v>
      </c>
      <c r="D407" s="240"/>
      <c r="E407" s="241"/>
      <c r="F407" s="70"/>
      <c r="G407" s="71"/>
      <c r="H407" s="71"/>
      <c r="I407" s="71"/>
      <c r="J407" s="240" t="s">
        <v>153</v>
      </c>
      <c r="K407" s="241"/>
      <c r="L407" s="49">
        <v>0</v>
      </c>
      <c r="M407" s="49">
        <v>0</v>
      </c>
      <c r="N407" s="49"/>
      <c r="O407" s="49"/>
      <c r="P407" s="49"/>
      <c r="Q407" s="49">
        <f>SUM(N407:P407)</f>
        <v>0</v>
      </c>
      <c r="R407" s="72"/>
      <c r="S407" s="49">
        <f>M407-Q407</f>
        <v>0</v>
      </c>
      <c r="T407" s="49">
        <v>0</v>
      </c>
      <c r="U407" s="49">
        <f>T407+M407</f>
        <v>0</v>
      </c>
      <c r="V407" s="49">
        <f>T407+S407</f>
        <v>0</v>
      </c>
      <c r="W407" s="49"/>
      <c r="X407" s="49"/>
      <c r="Y407" s="49"/>
      <c r="Z407" s="49"/>
      <c r="AA407" s="49">
        <v>1065500</v>
      </c>
      <c r="AB407" s="49">
        <v>1600000</v>
      </c>
      <c r="AC407" s="49">
        <f>AB407-L407</f>
        <v>1600000</v>
      </c>
      <c r="AD407" s="49">
        <f>AA407+T407+M407</f>
        <v>1065500</v>
      </c>
      <c r="AE407" s="49"/>
      <c r="AF407" s="49"/>
      <c r="AG407" s="49"/>
      <c r="AH407" s="49"/>
      <c r="AI407" s="49"/>
      <c r="AJ407" s="49"/>
      <c r="AK407" s="49">
        <f>Z407+Y407+X407+W407+N407+AG407+AJ407+AI407+AH407</f>
        <v>0</v>
      </c>
      <c r="AL407" s="49">
        <f>AK407/AD407*100</f>
        <v>0</v>
      </c>
      <c r="AM407" s="49"/>
      <c r="AN407" s="49"/>
      <c r="AO407" s="49"/>
      <c r="AP407" s="42">
        <v>1600000</v>
      </c>
      <c r="AQ407" s="49">
        <f>AK407+AM407+AN407+AO407+AP407</f>
        <v>1600000</v>
      </c>
      <c r="AR407" s="49">
        <f>AQ407/AB407*100</f>
        <v>100</v>
      </c>
      <c r="AS407" s="49">
        <f t="shared" si="98"/>
        <v>0</v>
      </c>
      <c r="AT407" s="49">
        <v>3091500</v>
      </c>
      <c r="AU407" s="49">
        <f>AT407+U407</f>
        <v>3091500</v>
      </c>
      <c r="AV407" s="49">
        <f>AK407</f>
        <v>0</v>
      </c>
      <c r="AW407" s="72">
        <f>AV407/AU407*100</f>
        <v>0</v>
      </c>
      <c r="AX407" s="49">
        <f>AU407-AV407</f>
        <v>3091500</v>
      </c>
      <c r="AY407" s="49">
        <f t="shared" si="95"/>
        <v>0</v>
      </c>
      <c r="AZ407" s="73">
        <f t="shared" si="97"/>
        <v>1600000</v>
      </c>
    </row>
    <row r="408" spans="1:54" ht="20.100000000000001" customHeight="1">
      <c r="A408" s="68"/>
      <c r="B408" s="69"/>
      <c r="C408" s="240" t="s">
        <v>590</v>
      </c>
      <c r="D408" s="240"/>
      <c r="E408" s="241"/>
      <c r="F408" s="70"/>
      <c r="G408" s="71"/>
      <c r="H408" s="71"/>
      <c r="I408" s="71"/>
      <c r="J408" s="240" t="s">
        <v>155</v>
      </c>
      <c r="K408" s="241"/>
      <c r="L408" s="49">
        <v>1065500</v>
      </c>
      <c r="M408" s="49">
        <v>0</v>
      </c>
      <c r="N408" s="49"/>
      <c r="O408" s="49"/>
      <c r="P408" s="49"/>
      <c r="Q408" s="49">
        <f>SUM(N408:P408)</f>
        <v>0</v>
      </c>
      <c r="R408" s="72"/>
      <c r="S408" s="49">
        <f>M408-Q408</f>
        <v>0</v>
      </c>
      <c r="T408" s="49">
        <v>0</v>
      </c>
      <c r="U408" s="49">
        <f>T408+M408</f>
        <v>0</v>
      </c>
      <c r="V408" s="49">
        <f>T408+S408</f>
        <v>0</v>
      </c>
      <c r="W408" s="49"/>
      <c r="X408" s="49"/>
      <c r="Y408" s="49"/>
      <c r="Z408" s="49"/>
      <c r="AA408" s="49">
        <v>1065500</v>
      </c>
      <c r="AB408" s="49">
        <v>1940500</v>
      </c>
      <c r="AC408" s="49">
        <f t="shared" si="102"/>
        <v>875000</v>
      </c>
      <c r="AD408" s="49">
        <f>AA408+T408+M408</f>
        <v>1065500</v>
      </c>
      <c r="AE408" s="49"/>
      <c r="AF408" s="49"/>
      <c r="AG408" s="49"/>
      <c r="AH408" s="49"/>
      <c r="AI408" s="49"/>
      <c r="AJ408" s="49"/>
      <c r="AK408" s="49">
        <f>Z408+Y408+X408+W408+N408+AG408+AJ408+AI408+AH408</f>
        <v>0</v>
      </c>
      <c r="AL408" s="49">
        <f>AK408/AD408*100</f>
        <v>0</v>
      </c>
      <c r="AM408" s="49"/>
      <c r="AN408" s="49">
        <v>1065400</v>
      </c>
      <c r="AO408" s="49"/>
      <c r="AP408" s="42"/>
      <c r="AQ408" s="49">
        <f>AK408+AM408+AN408+AO408+AP408</f>
        <v>1065400</v>
      </c>
      <c r="AR408" s="49">
        <f>AQ408/AB408*100</f>
        <v>54.903375418706524</v>
      </c>
      <c r="AS408" s="49">
        <f t="shared" si="98"/>
        <v>875100</v>
      </c>
      <c r="AT408" s="49">
        <v>3091500</v>
      </c>
      <c r="AU408" s="49">
        <f>AT408+U408</f>
        <v>3091500</v>
      </c>
      <c r="AV408" s="49">
        <f>AK408</f>
        <v>0</v>
      </c>
      <c r="AW408" s="72">
        <f>AV408/AU408*100</f>
        <v>0</v>
      </c>
      <c r="AX408" s="49">
        <f>AU408-AV408</f>
        <v>3091500</v>
      </c>
      <c r="AY408" s="49">
        <f t="shared" si="95"/>
        <v>45.096624581293483</v>
      </c>
      <c r="AZ408" s="73">
        <f t="shared" si="97"/>
        <v>1065400</v>
      </c>
    </row>
    <row r="409" spans="1:54" ht="20.100000000000001" customHeight="1">
      <c r="A409" s="68"/>
      <c r="B409" s="69"/>
      <c r="C409" s="240" t="s">
        <v>591</v>
      </c>
      <c r="D409" s="240"/>
      <c r="E409" s="241"/>
      <c r="F409" s="70"/>
      <c r="G409" s="71"/>
      <c r="H409" s="71"/>
      <c r="I409" s="240" t="s">
        <v>193</v>
      </c>
      <c r="J409" s="240"/>
      <c r="K409" s="241"/>
      <c r="L409" s="49"/>
      <c r="M409" s="49"/>
      <c r="N409" s="49"/>
      <c r="O409" s="49"/>
      <c r="P409" s="49"/>
      <c r="Q409" s="49"/>
      <c r="R409" s="72"/>
      <c r="S409" s="49"/>
      <c r="T409" s="49"/>
      <c r="U409" s="49"/>
      <c r="V409" s="49"/>
      <c r="W409" s="49"/>
      <c r="X409" s="49"/>
      <c r="Y409" s="49"/>
      <c r="Z409" s="49"/>
      <c r="AA409" s="49"/>
      <c r="AB409" s="49"/>
      <c r="AC409" s="49">
        <f t="shared" si="102"/>
        <v>0</v>
      </c>
      <c r="AD409" s="49"/>
      <c r="AE409" s="49"/>
      <c r="AF409" s="49"/>
      <c r="AG409" s="49"/>
      <c r="AH409" s="49"/>
      <c r="AI409" s="49"/>
      <c r="AJ409" s="49"/>
      <c r="AK409" s="49"/>
      <c r="AL409" s="49"/>
      <c r="AM409" s="49"/>
      <c r="AN409" s="49"/>
      <c r="AO409" s="49"/>
      <c r="AP409" s="42"/>
      <c r="AQ409" s="49"/>
      <c r="AR409" s="49"/>
      <c r="AS409" s="49"/>
      <c r="AT409" s="49"/>
      <c r="AU409" s="49"/>
      <c r="AV409" s="49"/>
      <c r="AW409" s="49"/>
      <c r="AX409" s="49"/>
      <c r="AY409" s="49"/>
      <c r="AZ409" s="73">
        <f t="shared" si="97"/>
        <v>0</v>
      </c>
    </row>
    <row r="410" spans="1:54" ht="20.100000000000001" customHeight="1">
      <c r="A410" s="68"/>
      <c r="B410" s="69"/>
      <c r="C410" s="240" t="s">
        <v>592</v>
      </c>
      <c r="D410" s="240"/>
      <c r="E410" s="241"/>
      <c r="F410" s="70"/>
      <c r="G410" s="71"/>
      <c r="H410" s="71"/>
      <c r="I410" s="71"/>
      <c r="J410" s="240" t="s">
        <v>195</v>
      </c>
      <c r="K410" s="241"/>
      <c r="L410" s="49">
        <v>33425000</v>
      </c>
      <c r="M410" s="49">
        <v>0</v>
      </c>
      <c r="N410" s="49"/>
      <c r="O410" s="49"/>
      <c r="P410" s="49"/>
      <c r="Q410" s="49">
        <f>SUM(N410:P410)</f>
        <v>0</v>
      </c>
      <c r="R410" s="72"/>
      <c r="S410" s="49">
        <f>M410-Q410</f>
        <v>0</v>
      </c>
      <c r="T410" s="49">
        <v>0</v>
      </c>
      <c r="U410" s="49">
        <f>T410+M410</f>
        <v>0</v>
      </c>
      <c r="V410" s="49">
        <f>T410+S410</f>
        <v>0</v>
      </c>
      <c r="W410" s="49"/>
      <c r="X410" s="49"/>
      <c r="Y410" s="49"/>
      <c r="Z410" s="49"/>
      <c r="AA410" s="49">
        <v>33425000</v>
      </c>
      <c r="AB410" s="49">
        <v>37450000</v>
      </c>
      <c r="AC410" s="49">
        <f t="shared" si="102"/>
        <v>4025000</v>
      </c>
      <c r="AD410" s="49">
        <f>AA410+T410+M410</f>
        <v>33425000</v>
      </c>
      <c r="AE410" s="49"/>
      <c r="AF410" s="49"/>
      <c r="AG410" s="49"/>
      <c r="AH410" s="49"/>
      <c r="AI410" s="49"/>
      <c r="AJ410" s="49"/>
      <c r="AK410" s="49">
        <f>Z410+Y410+X410+W410+N410+AG410+AJ410+AI410+AH410</f>
        <v>0</v>
      </c>
      <c r="AL410" s="49">
        <f>AK410/AD410*100</f>
        <v>0</v>
      </c>
      <c r="AM410" s="49"/>
      <c r="AN410" s="49">
        <v>29225000</v>
      </c>
      <c r="AO410" s="49"/>
      <c r="AP410" s="42"/>
      <c r="AQ410" s="49">
        <f>AK410+AM410+AN410+AO410+AP410</f>
        <v>29225000</v>
      </c>
      <c r="AR410" s="49">
        <f>AQ410/AB410*100</f>
        <v>78.037383177570092</v>
      </c>
      <c r="AS410" s="49">
        <f t="shared" si="98"/>
        <v>8225000</v>
      </c>
      <c r="AT410" s="49">
        <v>3091500</v>
      </c>
      <c r="AU410" s="49">
        <f>AT410+U410</f>
        <v>3091500</v>
      </c>
      <c r="AV410" s="49">
        <f>AK410</f>
        <v>0</v>
      </c>
      <c r="AW410" s="72">
        <f>AV410/AU410*100</f>
        <v>0</v>
      </c>
      <c r="AX410" s="49">
        <f>AU410-AV410</f>
        <v>3091500</v>
      </c>
      <c r="AY410" s="49">
        <f t="shared" si="95"/>
        <v>21.962616822429908</v>
      </c>
      <c r="AZ410" s="73">
        <f t="shared" si="97"/>
        <v>29225000</v>
      </c>
      <c r="BB410" s="29">
        <f>AS410</f>
        <v>8225000</v>
      </c>
    </row>
    <row r="411" spans="1:54" ht="20.100000000000001" customHeight="1">
      <c r="A411" s="68"/>
      <c r="B411" s="69"/>
      <c r="C411" s="240" t="s">
        <v>593</v>
      </c>
      <c r="D411" s="240"/>
      <c r="E411" s="241"/>
      <c r="F411" s="70"/>
      <c r="G411" s="71"/>
      <c r="H411" s="71"/>
      <c r="I411" s="240" t="s">
        <v>157</v>
      </c>
      <c r="J411" s="240"/>
      <c r="K411" s="241"/>
      <c r="L411" s="49"/>
      <c r="M411" s="49"/>
      <c r="N411" s="49"/>
      <c r="O411" s="49"/>
      <c r="P411" s="49"/>
      <c r="Q411" s="49"/>
      <c r="R411" s="72"/>
      <c r="S411" s="49"/>
      <c r="T411" s="49"/>
      <c r="U411" s="49"/>
      <c r="V411" s="49"/>
      <c r="W411" s="49"/>
      <c r="X411" s="49"/>
      <c r="Y411" s="49"/>
      <c r="Z411" s="49"/>
      <c r="AA411" s="49"/>
      <c r="AB411" s="49"/>
      <c r="AC411" s="49">
        <f t="shared" si="102"/>
        <v>0</v>
      </c>
      <c r="AD411" s="49"/>
      <c r="AE411" s="49"/>
      <c r="AF411" s="49"/>
      <c r="AG411" s="49"/>
      <c r="AH411" s="49"/>
      <c r="AI411" s="49"/>
      <c r="AJ411" s="49"/>
      <c r="AK411" s="49"/>
      <c r="AL411" s="49"/>
      <c r="AM411" s="49"/>
      <c r="AN411" s="49"/>
      <c r="AO411" s="49"/>
      <c r="AP411" s="42"/>
      <c r="AQ411" s="49"/>
      <c r="AR411" s="49"/>
      <c r="AS411" s="49"/>
      <c r="AT411" s="49"/>
      <c r="AU411" s="49"/>
      <c r="AV411" s="49"/>
      <c r="AW411" s="49"/>
      <c r="AX411" s="49"/>
      <c r="AY411" s="49"/>
      <c r="AZ411" s="73">
        <f t="shared" si="97"/>
        <v>0</v>
      </c>
    </row>
    <row r="412" spans="1:54" ht="20.100000000000001" customHeight="1">
      <c r="A412" s="68"/>
      <c r="B412" s="69"/>
      <c r="C412" s="240" t="s">
        <v>594</v>
      </c>
      <c r="D412" s="240"/>
      <c r="E412" s="241"/>
      <c r="F412" s="70"/>
      <c r="G412" s="71"/>
      <c r="H412" s="71"/>
      <c r="I412" s="71"/>
      <c r="J412" s="240" t="s">
        <v>159</v>
      </c>
      <c r="K412" s="241"/>
      <c r="L412" s="49">
        <v>3200000</v>
      </c>
      <c r="M412" s="49">
        <v>0</v>
      </c>
      <c r="N412" s="49"/>
      <c r="O412" s="49"/>
      <c r="P412" s="49"/>
      <c r="Q412" s="49">
        <f>SUM(N412:P412)</f>
        <v>0</v>
      </c>
      <c r="R412" s="72"/>
      <c r="S412" s="49">
        <f>M412-Q412</f>
        <v>0</v>
      </c>
      <c r="T412" s="49">
        <v>0</v>
      </c>
      <c r="U412" s="49">
        <f>T412+M412</f>
        <v>0</v>
      </c>
      <c r="V412" s="49">
        <f>T412+S412</f>
        <v>0</v>
      </c>
      <c r="W412" s="49"/>
      <c r="X412" s="49"/>
      <c r="Y412" s="49"/>
      <c r="Z412" s="49"/>
      <c r="AA412" s="49">
        <v>3200000</v>
      </c>
      <c r="AB412" s="49">
        <v>3200000</v>
      </c>
      <c r="AC412" s="49">
        <f t="shared" si="102"/>
        <v>0</v>
      </c>
      <c r="AD412" s="49">
        <f>AA412+T412+M412</f>
        <v>3200000</v>
      </c>
      <c r="AE412" s="49"/>
      <c r="AF412" s="49"/>
      <c r="AG412" s="49"/>
      <c r="AH412" s="49"/>
      <c r="AI412" s="49"/>
      <c r="AJ412" s="49"/>
      <c r="AK412" s="49">
        <f>Z412+Y412+X412+W412+N412+AG412+AJ412+AI412+AH412</f>
        <v>0</v>
      </c>
      <c r="AL412" s="49">
        <f>AK412/AD412*100</f>
        <v>0</v>
      </c>
      <c r="AM412" s="49"/>
      <c r="AN412" s="49"/>
      <c r="AO412" s="49"/>
      <c r="AP412" s="42">
        <v>3200000</v>
      </c>
      <c r="AQ412" s="49">
        <f>AK412+AM412+AN412+AO412+AP412</f>
        <v>3200000</v>
      </c>
      <c r="AR412" s="49">
        <f>AQ412/AB412*100</f>
        <v>100</v>
      </c>
      <c r="AS412" s="49">
        <f t="shared" si="98"/>
        <v>0</v>
      </c>
      <c r="AT412" s="49">
        <v>3091500</v>
      </c>
      <c r="AU412" s="49">
        <f>AT412+U412</f>
        <v>3091500</v>
      </c>
      <c r="AV412" s="49">
        <f>AK412</f>
        <v>0</v>
      </c>
      <c r="AW412" s="72">
        <f>AV412/AU412*100</f>
        <v>0</v>
      </c>
      <c r="AX412" s="49">
        <f>AU412-AV412</f>
        <v>3091500</v>
      </c>
      <c r="AY412" s="49">
        <f t="shared" si="95"/>
        <v>0</v>
      </c>
      <c r="AZ412" s="73">
        <f t="shared" si="97"/>
        <v>3200000</v>
      </c>
    </row>
    <row r="413" spans="1:54" ht="20.100000000000001" customHeight="1">
      <c r="A413" s="68"/>
      <c r="B413" s="69"/>
      <c r="C413" s="240" t="s">
        <v>595</v>
      </c>
      <c r="D413" s="240"/>
      <c r="E413" s="241"/>
      <c r="F413" s="70"/>
      <c r="G413" s="71"/>
      <c r="H413" s="71"/>
      <c r="I413" s="71"/>
      <c r="J413" s="240" t="s">
        <v>207</v>
      </c>
      <c r="K413" s="241"/>
      <c r="L413" s="49">
        <v>60082500</v>
      </c>
      <c r="M413" s="49">
        <v>13000000</v>
      </c>
      <c r="N413" s="49">
        <v>0</v>
      </c>
      <c r="O413" s="49"/>
      <c r="P413" s="49"/>
      <c r="Q413" s="49">
        <f>SUM(N413:P413)</f>
        <v>0</v>
      </c>
      <c r="R413" s="72">
        <f>Q413/M413*100</f>
        <v>0</v>
      </c>
      <c r="S413" s="49">
        <f>M413-Q413</f>
        <v>13000000</v>
      </c>
      <c r="T413" s="49">
        <v>24482500</v>
      </c>
      <c r="U413" s="49">
        <f>T413+M413</f>
        <v>37482500</v>
      </c>
      <c r="V413" s="49">
        <f>T413+S413</f>
        <v>37482500</v>
      </c>
      <c r="W413" s="49">
        <v>0</v>
      </c>
      <c r="X413" s="49">
        <f>12900000</f>
        <v>12900000</v>
      </c>
      <c r="Y413" s="49"/>
      <c r="Z413" s="49"/>
      <c r="AA413" s="49">
        <v>0</v>
      </c>
      <c r="AB413" s="49">
        <v>60082500</v>
      </c>
      <c r="AC413" s="49">
        <f t="shared" si="102"/>
        <v>0</v>
      </c>
      <c r="AD413" s="49">
        <f>AA413+T413+M413</f>
        <v>37482500</v>
      </c>
      <c r="AE413" s="49">
        <v>10750000</v>
      </c>
      <c r="AF413" s="49">
        <v>0</v>
      </c>
      <c r="AG413" s="49">
        <v>0</v>
      </c>
      <c r="AH413" s="49"/>
      <c r="AI413" s="49"/>
      <c r="AJ413" s="49"/>
      <c r="AK413" s="49">
        <f>Z413+Y413+X413+W413+N413+AG413+AJ413+AI413+AH413+10750000</f>
        <v>23650000</v>
      </c>
      <c r="AL413" s="49">
        <f>AK413/AD413*100</f>
        <v>63.096111518708732</v>
      </c>
      <c r="AM413" s="49"/>
      <c r="AN413" s="49">
        <v>0</v>
      </c>
      <c r="AO413" s="49"/>
      <c r="AP413" s="42">
        <v>36432500</v>
      </c>
      <c r="AQ413" s="49">
        <f>AK413+AM413+AN413+AO413+AP413</f>
        <v>60082500</v>
      </c>
      <c r="AR413" s="49">
        <f>AQ413/AB413*100</f>
        <v>100</v>
      </c>
      <c r="AS413" s="49">
        <f t="shared" si="98"/>
        <v>0</v>
      </c>
      <c r="AT413" s="49">
        <v>3091500</v>
      </c>
      <c r="AU413" s="49">
        <f>AT413+U413</f>
        <v>40574000</v>
      </c>
      <c r="AV413" s="49">
        <f>AK413</f>
        <v>23650000</v>
      </c>
      <c r="AW413" s="72">
        <f>AV413/AU413*100</f>
        <v>58.288559175826883</v>
      </c>
      <c r="AX413" s="49">
        <f>AU413-AV413</f>
        <v>16924000</v>
      </c>
      <c r="AY413" s="49">
        <f t="shared" si="95"/>
        <v>0</v>
      </c>
      <c r="AZ413" s="73">
        <f t="shared" si="97"/>
        <v>60082500</v>
      </c>
    </row>
    <row r="414" spans="1:54" ht="20.100000000000001" customHeight="1">
      <c r="A414" s="68"/>
      <c r="B414" s="69"/>
      <c r="C414" s="240" t="s">
        <v>596</v>
      </c>
      <c r="D414" s="240"/>
      <c r="E414" s="241"/>
      <c r="F414" s="70"/>
      <c r="G414" s="71"/>
      <c r="H414" s="71"/>
      <c r="I414" s="240" t="s">
        <v>402</v>
      </c>
      <c r="J414" s="240"/>
      <c r="K414" s="241"/>
      <c r="L414" s="49"/>
      <c r="M414" s="49"/>
      <c r="N414" s="49"/>
      <c r="O414" s="49"/>
      <c r="P414" s="49"/>
      <c r="Q414" s="49"/>
      <c r="R414" s="72"/>
      <c r="S414" s="49"/>
      <c r="T414" s="49"/>
      <c r="U414" s="49"/>
      <c r="V414" s="49"/>
      <c r="W414" s="49"/>
      <c r="X414" s="77"/>
      <c r="Y414" s="49"/>
      <c r="Z414" s="49"/>
      <c r="AA414" s="49"/>
      <c r="AB414" s="49"/>
      <c r="AC414" s="49">
        <f t="shared" si="102"/>
        <v>0</v>
      </c>
      <c r="AD414" s="49"/>
      <c r="AE414" s="77"/>
      <c r="AF414" s="77"/>
      <c r="AG414" s="49"/>
      <c r="AH414" s="49"/>
      <c r="AI414" s="49"/>
      <c r="AJ414" s="49"/>
      <c r="AK414" s="49"/>
      <c r="AL414" s="49"/>
      <c r="AM414" s="49"/>
      <c r="AN414" s="49"/>
      <c r="AO414" s="49"/>
      <c r="AP414" s="42"/>
      <c r="AQ414" s="49"/>
      <c r="AR414" s="49"/>
      <c r="AS414" s="49"/>
      <c r="AT414" s="49"/>
      <c r="AU414" s="49"/>
      <c r="AV414" s="49"/>
      <c r="AW414" s="49"/>
      <c r="AX414" s="49"/>
      <c r="AY414" s="49"/>
      <c r="AZ414" s="73">
        <f t="shared" si="97"/>
        <v>0</v>
      </c>
    </row>
    <row r="415" spans="1:54" ht="20.100000000000001" customHeight="1">
      <c r="A415" s="68"/>
      <c r="B415" s="69"/>
      <c r="C415" s="240" t="s">
        <v>597</v>
      </c>
      <c r="D415" s="240"/>
      <c r="E415" s="241"/>
      <c r="F415" s="70"/>
      <c r="G415" s="71"/>
      <c r="H415" s="71"/>
      <c r="I415" s="71"/>
      <c r="J415" s="240" t="s">
        <v>404</v>
      </c>
      <c r="K415" s="241"/>
      <c r="L415" s="49">
        <v>100400000</v>
      </c>
      <c r="M415" s="49">
        <v>6400000</v>
      </c>
      <c r="N415" s="49"/>
      <c r="O415" s="49"/>
      <c r="P415" s="49"/>
      <c r="Q415" s="49">
        <f>SUM(N415:P415)</f>
        <v>0</v>
      </c>
      <c r="R415" s="72">
        <f>Q415/M415*100</f>
        <v>0</v>
      </c>
      <c r="S415" s="49">
        <f>M415-Q415</f>
        <v>6400000</v>
      </c>
      <c r="T415" s="49">
        <v>9600000</v>
      </c>
      <c r="U415" s="49">
        <f>T415+M415</f>
        <v>16000000</v>
      </c>
      <c r="V415" s="49">
        <f>T415+S415</f>
        <v>16000000</v>
      </c>
      <c r="W415" s="49"/>
      <c r="X415" s="49"/>
      <c r="Y415" s="49"/>
      <c r="Z415" s="49"/>
      <c r="AA415" s="49">
        <v>14100000</v>
      </c>
      <c r="AB415" s="49">
        <v>44100000</v>
      </c>
      <c r="AC415" s="49">
        <f t="shared" si="102"/>
        <v>-56300000</v>
      </c>
      <c r="AD415" s="49">
        <f>AA415+T415+M415</f>
        <v>30100000</v>
      </c>
      <c r="AE415" s="49"/>
      <c r="AF415" s="49"/>
      <c r="AG415" s="49"/>
      <c r="AH415" s="49"/>
      <c r="AI415" s="49"/>
      <c r="AJ415" s="49">
        <v>0</v>
      </c>
      <c r="AK415" s="49">
        <f>Z415+Y415+X415+W415+N415+AG415+AJ415+AI415+AH415</f>
        <v>0</v>
      </c>
      <c r="AL415" s="49">
        <f>AK415/AD415*100</f>
        <v>0</v>
      </c>
      <c r="AM415" s="49"/>
      <c r="AN415" s="49">
        <v>4500000</v>
      </c>
      <c r="AO415" s="49"/>
      <c r="AP415" s="42"/>
      <c r="AQ415" s="49">
        <f>AK415+AM415+AN415+AO415+AP415</f>
        <v>4500000</v>
      </c>
      <c r="AR415" s="49">
        <f>AQ415/AB415*100</f>
        <v>10.204081632653061</v>
      </c>
      <c r="AS415" s="49">
        <f t="shared" si="98"/>
        <v>39600000</v>
      </c>
      <c r="AT415" s="49">
        <v>3091500</v>
      </c>
      <c r="AU415" s="49">
        <f>AT415+U415</f>
        <v>19091500</v>
      </c>
      <c r="AV415" s="49">
        <f>AK415</f>
        <v>0</v>
      </c>
      <c r="AW415" s="72">
        <f>AV415/AU415*100</f>
        <v>0</v>
      </c>
      <c r="AX415" s="49">
        <f>AU415-AV415</f>
        <v>19091500</v>
      </c>
      <c r="AY415" s="49">
        <f t="shared" si="95"/>
        <v>89.795918367346943</v>
      </c>
      <c r="AZ415" s="73">
        <f t="shared" si="97"/>
        <v>4500000</v>
      </c>
    </row>
    <row r="416" spans="1:54" ht="20.100000000000001" customHeight="1">
      <c r="A416" s="60" t="s">
        <v>598</v>
      </c>
      <c r="B416" s="75"/>
      <c r="C416" s="247" t="s">
        <v>599</v>
      </c>
      <c r="D416" s="247"/>
      <c r="E416" s="248"/>
      <c r="F416" s="249" t="s">
        <v>33</v>
      </c>
      <c r="G416" s="250"/>
      <c r="H416" s="250"/>
      <c r="I416" s="250"/>
      <c r="J416" s="250"/>
      <c r="K416" s="251"/>
      <c r="L416" s="48">
        <f>L417</f>
        <v>77606000</v>
      </c>
      <c r="M416" s="48">
        <f>M417</f>
        <v>0</v>
      </c>
      <c r="N416" s="48">
        <f>N417</f>
        <v>0</v>
      </c>
      <c r="O416" s="48">
        <f>O417</f>
        <v>0</v>
      </c>
      <c r="P416" s="48">
        <f>P417</f>
        <v>0</v>
      </c>
      <c r="Q416" s="48">
        <f>SUM(N416:P416)</f>
        <v>0</v>
      </c>
      <c r="R416" s="61"/>
      <c r="S416" s="48">
        <f>M416-Q416</f>
        <v>0</v>
      </c>
      <c r="T416" s="48">
        <f>T417</f>
        <v>3054000</v>
      </c>
      <c r="U416" s="48">
        <f>T416+M416</f>
        <v>3054000</v>
      </c>
      <c r="V416" s="48">
        <f>T416+S416</f>
        <v>3054000</v>
      </c>
      <c r="W416" s="48">
        <f>W417</f>
        <v>0</v>
      </c>
      <c r="X416" s="48">
        <f>X417</f>
        <v>0</v>
      </c>
      <c r="Y416" s="48">
        <f>Y417</f>
        <v>0</v>
      </c>
      <c r="Z416" s="48"/>
      <c r="AA416" s="48">
        <f>AA417</f>
        <v>74552000</v>
      </c>
      <c r="AB416" s="48">
        <f>AB417</f>
        <v>77606000</v>
      </c>
      <c r="AC416" s="48">
        <f t="shared" si="102"/>
        <v>0</v>
      </c>
      <c r="AD416" s="48">
        <f>AA416+T416+M416</f>
        <v>77606000</v>
      </c>
      <c r="AE416" s="48">
        <f t="shared" ref="AE416:AK416" si="105">AE417</f>
        <v>0</v>
      </c>
      <c r="AF416" s="48">
        <f t="shared" si="105"/>
        <v>0</v>
      </c>
      <c r="AG416" s="48">
        <f t="shared" si="105"/>
        <v>0</v>
      </c>
      <c r="AH416" s="48">
        <f t="shared" si="105"/>
        <v>0</v>
      </c>
      <c r="AI416" s="48">
        <f t="shared" si="105"/>
        <v>0</v>
      </c>
      <c r="AJ416" s="48">
        <f t="shared" si="105"/>
        <v>55002735</v>
      </c>
      <c r="AK416" s="48">
        <f t="shared" si="105"/>
        <v>55002735</v>
      </c>
      <c r="AL416" s="48">
        <f>AK416/AB416*100</f>
        <v>70.874333170115705</v>
      </c>
      <c r="AM416" s="48">
        <f>AM417</f>
        <v>0</v>
      </c>
      <c r="AN416" s="48">
        <f>AN417</f>
        <v>19890000</v>
      </c>
      <c r="AO416" s="48">
        <f>AO417</f>
        <v>0</v>
      </c>
      <c r="AP416" s="48">
        <f>AP417</f>
        <v>0</v>
      </c>
      <c r="AQ416" s="48">
        <f>AK416+AM416+AN416+AO416+AP416</f>
        <v>74892735</v>
      </c>
      <c r="AR416" s="48">
        <f>AQ416/AB416*100</f>
        <v>96.503794809679661</v>
      </c>
      <c r="AS416" s="48">
        <f>AB416-AQ416</f>
        <v>2713265</v>
      </c>
      <c r="AT416" s="48">
        <v>120767500</v>
      </c>
      <c r="AU416" s="48">
        <f>AT416+U416</f>
        <v>123821500</v>
      </c>
      <c r="AV416" s="48">
        <f>AK416</f>
        <v>55002735</v>
      </c>
      <c r="AW416" s="61">
        <f>AV416/AU416*100</f>
        <v>44.42098908509427</v>
      </c>
      <c r="AX416" s="48">
        <f>AU416-AV416</f>
        <v>68818765</v>
      </c>
      <c r="AY416" s="48">
        <f>AS416/AB416*100</f>
        <v>3.4962051903203362</v>
      </c>
      <c r="AZ416" s="73">
        <f t="shared" si="97"/>
        <v>74892735</v>
      </c>
    </row>
    <row r="417" spans="1:53" ht="20.100000000000001" customHeight="1">
      <c r="A417" s="62">
        <v>27</v>
      </c>
      <c r="B417" s="63"/>
      <c r="C417" s="242" t="s">
        <v>600</v>
      </c>
      <c r="D417" s="242"/>
      <c r="E417" s="243"/>
      <c r="F417" s="64"/>
      <c r="G417" s="244" t="s">
        <v>601</v>
      </c>
      <c r="H417" s="244"/>
      <c r="I417" s="244"/>
      <c r="J417" s="244"/>
      <c r="K417" s="245"/>
      <c r="L417" s="65">
        <f>SUM(L420:L442)</f>
        <v>77606000</v>
      </c>
      <c r="M417" s="65">
        <f>SUM(M420:M442)</f>
        <v>0</v>
      </c>
      <c r="N417" s="65">
        <f>SUM(N420:N442)</f>
        <v>0</v>
      </c>
      <c r="O417" s="65">
        <f>SUM(O420:O442)</f>
        <v>0</v>
      </c>
      <c r="P417" s="65">
        <f>SUM(P420:P442)</f>
        <v>0</v>
      </c>
      <c r="Q417" s="65">
        <f>SUM(N417:P417)</f>
        <v>0</v>
      </c>
      <c r="R417" s="66"/>
      <c r="S417" s="65">
        <f>M417-Q417</f>
        <v>0</v>
      </c>
      <c r="T417" s="65">
        <f>SUM(T420:T442)</f>
        <v>3054000</v>
      </c>
      <c r="U417" s="65">
        <f>T417+M417</f>
        <v>3054000</v>
      </c>
      <c r="V417" s="65">
        <f>T417+S417</f>
        <v>3054000</v>
      </c>
      <c r="W417" s="65">
        <f>SUM(W420:W442)</f>
        <v>0</v>
      </c>
      <c r="X417" s="65">
        <f>SUM(X420:X442)</f>
        <v>0</v>
      </c>
      <c r="Y417" s="65">
        <f>SUM(Y420:Y442)</f>
        <v>0</v>
      </c>
      <c r="Z417" s="65"/>
      <c r="AA417" s="65">
        <f>SUM(AA420:AA442)</f>
        <v>74552000</v>
      </c>
      <c r="AB417" s="65">
        <f>SUM(AB420:AB442)</f>
        <v>77606000</v>
      </c>
      <c r="AC417" s="65">
        <f t="shared" si="102"/>
        <v>0</v>
      </c>
      <c r="AD417" s="65">
        <f>AA417+T417+M417</f>
        <v>77606000</v>
      </c>
      <c r="AE417" s="65">
        <f t="shared" ref="AE417:AK417" si="106">SUM(AE420:AE442)</f>
        <v>0</v>
      </c>
      <c r="AF417" s="65">
        <f t="shared" si="106"/>
        <v>0</v>
      </c>
      <c r="AG417" s="65">
        <f t="shared" si="106"/>
        <v>0</v>
      </c>
      <c r="AH417" s="65">
        <f t="shared" si="106"/>
        <v>0</v>
      </c>
      <c r="AI417" s="65">
        <f t="shared" si="106"/>
        <v>0</v>
      </c>
      <c r="AJ417" s="65">
        <f>AJ420+AJ423+AJ425+AJ426+AJ428+AJ430+AJ432+AJ434+AJ439+AJ442</f>
        <v>55002735</v>
      </c>
      <c r="AK417" s="65">
        <f t="shared" si="106"/>
        <v>55002735</v>
      </c>
      <c r="AL417" s="65">
        <f>AK417/AB417*100</f>
        <v>70.874333170115705</v>
      </c>
      <c r="AM417" s="65">
        <f>SUM(AM420:AM442)</f>
        <v>0</v>
      </c>
      <c r="AN417" s="65">
        <f>SUM(AN420:AN442)</f>
        <v>19890000</v>
      </c>
      <c r="AO417" s="65">
        <f>SUM(AO420:AO442)</f>
        <v>0</v>
      </c>
      <c r="AP417" s="65">
        <f>SUM(AP420:AP442)</f>
        <v>0</v>
      </c>
      <c r="AQ417" s="65">
        <f>AK417+AM417+AN417+AO417+AP417</f>
        <v>74892735</v>
      </c>
      <c r="AR417" s="65">
        <f>AQ417/AB417*100</f>
        <v>96.503794809679661</v>
      </c>
      <c r="AS417" s="65">
        <f>AB417-AQ417</f>
        <v>2713265</v>
      </c>
      <c r="AT417" s="65">
        <f>SUM(AT420:AT426)</f>
        <v>12366000</v>
      </c>
      <c r="AU417" s="65">
        <f>AT417+U417</f>
        <v>15420000</v>
      </c>
      <c r="AV417" s="65">
        <f>AK417</f>
        <v>55002735</v>
      </c>
      <c r="AW417" s="66">
        <f>AV417/AU417*100</f>
        <v>356.69737354085601</v>
      </c>
      <c r="AX417" s="65">
        <f>AU417-AV417</f>
        <v>-39582735</v>
      </c>
      <c r="AY417" s="65">
        <f>AS417/AB417*100</f>
        <v>3.4962051903203362</v>
      </c>
      <c r="AZ417" s="67">
        <f t="shared" si="97"/>
        <v>74892735</v>
      </c>
      <c r="BA417" s="29">
        <f>AS417</f>
        <v>2713265</v>
      </c>
    </row>
    <row r="418" spans="1:53" ht="20.100000000000001" customHeight="1">
      <c r="A418" s="68"/>
      <c r="B418" s="69"/>
      <c r="C418" s="240" t="s">
        <v>602</v>
      </c>
      <c r="D418" s="240"/>
      <c r="E418" s="241"/>
      <c r="F418" s="70"/>
      <c r="G418" s="71"/>
      <c r="H418" s="240" t="s">
        <v>10</v>
      </c>
      <c r="I418" s="240"/>
      <c r="J418" s="240"/>
      <c r="K418" s="241"/>
      <c r="L418" s="49"/>
      <c r="M418" s="49"/>
      <c r="N418" s="49"/>
      <c r="O418" s="49"/>
      <c r="P418" s="49"/>
      <c r="Q418" s="49"/>
      <c r="R418" s="72"/>
      <c r="S418" s="49"/>
      <c r="T418" s="49"/>
      <c r="U418" s="49"/>
      <c r="V418" s="49"/>
      <c r="W418" s="49"/>
      <c r="X418" s="49"/>
      <c r="Y418" s="49"/>
      <c r="Z418" s="49"/>
      <c r="AA418" s="49"/>
      <c r="AB418" s="49"/>
      <c r="AC418" s="49">
        <f t="shared" si="102"/>
        <v>0</v>
      </c>
      <c r="AD418" s="49"/>
      <c r="AE418" s="49"/>
      <c r="AF418" s="49"/>
      <c r="AG418" s="49"/>
      <c r="AH418" s="49"/>
      <c r="AI418" s="49"/>
      <c r="AJ418" s="49"/>
      <c r="AK418" s="49"/>
      <c r="AL418" s="49"/>
      <c r="AM418" s="49"/>
      <c r="AN418" s="49"/>
      <c r="AO418" s="49"/>
      <c r="AP418" s="49"/>
      <c r="AQ418" s="49"/>
      <c r="AR418" s="49"/>
      <c r="AS418" s="49"/>
      <c r="AT418" s="49"/>
      <c r="AU418" s="49"/>
      <c r="AV418" s="49"/>
      <c r="AW418" s="49"/>
      <c r="AX418" s="49"/>
      <c r="AY418" s="49"/>
      <c r="AZ418" s="73">
        <f t="shared" si="97"/>
        <v>0</v>
      </c>
    </row>
    <row r="419" spans="1:53" ht="20.100000000000001" customHeight="1">
      <c r="A419" s="68"/>
      <c r="B419" s="69"/>
      <c r="C419" s="240" t="s">
        <v>603</v>
      </c>
      <c r="D419" s="240"/>
      <c r="E419" s="241"/>
      <c r="F419" s="70"/>
      <c r="G419" s="71"/>
      <c r="H419" s="71"/>
      <c r="I419" s="240" t="s">
        <v>177</v>
      </c>
      <c r="J419" s="240"/>
      <c r="K419" s="241"/>
      <c r="L419" s="49"/>
      <c r="M419" s="49"/>
      <c r="N419" s="49"/>
      <c r="O419" s="49"/>
      <c r="P419" s="49"/>
      <c r="Q419" s="49"/>
      <c r="R419" s="72"/>
      <c r="S419" s="49"/>
      <c r="T419" s="49"/>
      <c r="U419" s="49"/>
      <c r="V419" s="49"/>
      <c r="W419" s="49"/>
      <c r="X419" s="49"/>
      <c r="Y419" s="49"/>
      <c r="Z419" s="49"/>
      <c r="AA419" s="49"/>
      <c r="AB419" s="49"/>
      <c r="AC419" s="49">
        <f t="shared" si="102"/>
        <v>0</v>
      </c>
      <c r="AD419" s="49"/>
      <c r="AE419" s="49"/>
      <c r="AF419" s="49"/>
      <c r="AG419" s="49"/>
      <c r="AH419" s="49"/>
      <c r="AI419" s="49"/>
      <c r="AJ419" s="49"/>
      <c r="AK419" s="49"/>
      <c r="AL419" s="49"/>
      <c r="AM419" s="49"/>
      <c r="AN419" s="49"/>
      <c r="AO419" s="49"/>
      <c r="AP419" s="49"/>
      <c r="AQ419" s="49"/>
      <c r="AR419" s="49"/>
      <c r="AS419" s="49"/>
      <c r="AT419" s="49"/>
      <c r="AU419" s="49"/>
      <c r="AV419" s="49"/>
      <c r="AW419" s="49"/>
      <c r="AX419" s="49"/>
      <c r="AY419" s="49"/>
      <c r="AZ419" s="73">
        <f t="shared" si="97"/>
        <v>0</v>
      </c>
    </row>
    <row r="420" spans="1:53" ht="20.100000000000001" customHeight="1">
      <c r="A420" s="68"/>
      <c r="B420" s="69"/>
      <c r="C420" s="240" t="s">
        <v>604</v>
      </c>
      <c r="D420" s="240"/>
      <c r="E420" s="241"/>
      <c r="F420" s="70"/>
      <c r="G420" s="71"/>
      <c r="H420" s="71"/>
      <c r="I420" s="71"/>
      <c r="J420" s="240" t="s">
        <v>283</v>
      </c>
      <c r="K420" s="241"/>
      <c r="L420" s="49">
        <v>7650000</v>
      </c>
      <c r="M420" s="49">
        <v>0</v>
      </c>
      <c r="N420" s="49"/>
      <c r="O420" s="49"/>
      <c r="P420" s="49"/>
      <c r="Q420" s="49">
        <f>SUM(N420:P420)</f>
        <v>0</v>
      </c>
      <c r="R420" s="72"/>
      <c r="S420" s="49">
        <f>M420-Q420</f>
        <v>0</v>
      </c>
      <c r="T420" s="49">
        <v>0</v>
      </c>
      <c r="U420" s="49">
        <f>T420+M420</f>
        <v>0</v>
      </c>
      <c r="V420" s="49">
        <f>T420+S420</f>
        <v>0</v>
      </c>
      <c r="W420" s="49"/>
      <c r="X420" s="49"/>
      <c r="Y420" s="49"/>
      <c r="Z420" s="49"/>
      <c r="AA420" s="49">
        <v>7650000</v>
      </c>
      <c r="AB420" s="49">
        <v>7650000</v>
      </c>
      <c r="AC420" s="49">
        <f t="shared" si="102"/>
        <v>0</v>
      </c>
      <c r="AD420" s="49">
        <f>AA420+T420+M420</f>
        <v>7650000</v>
      </c>
      <c r="AE420" s="49"/>
      <c r="AF420" s="49"/>
      <c r="AG420" s="49"/>
      <c r="AH420" s="49"/>
      <c r="AI420" s="49"/>
      <c r="AJ420" s="49">
        <v>7650000</v>
      </c>
      <c r="AK420" s="49">
        <f>Z420+Y420+X420+W420+N420+AG420+AJ420+AI420+AH420</f>
        <v>7650000</v>
      </c>
      <c r="AL420" s="49">
        <f>AK420/AD420*100</f>
        <v>100</v>
      </c>
      <c r="AM420" s="49"/>
      <c r="AN420" s="49"/>
      <c r="AO420" s="49"/>
      <c r="AP420" s="49"/>
      <c r="AQ420" s="49">
        <f>AK420+AM420+AN420+AO420+AP420</f>
        <v>7650000</v>
      </c>
      <c r="AR420" s="49">
        <f>AQ420/AB420*100</f>
        <v>100</v>
      </c>
      <c r="AS420" s="49">
        <f>AB420-AQ420</f>
        <v>0</v>
      </c>
      <c r="AT420" s="49">
        <v>3091500</v>
      </c>
      <c r="AU420" s="49">
        <f>AT420+U420</f>
        <v>3091500</v>
      </c>
      <c r="AV420" s="49">
        <f>AK420</f>
        <v>7650000</v>
      </c>
      <c r="AW420" s="72">
        <f>AV420/AU420*100</f>
        <v>247.45269286754001</v>
      </c>
      <c r="AX420" s="49">
        <f>AU420-AV420</f>
        <v>-4558500</v>
      </c>
      <c r="AY420" s="49">
        <f>AS420/AB420*100</f>
        <v>0</v>
      </c>
      <c r="AZ420" s="73">
        <f t="shared" ref="AZ420:AZ483" si="107">AQ420-AO420</f>
        <v>7650000</v>
      </c>
    </row>
    <row r="421" spans="1:53" ht="20.100000000000001" customHeight="1">
      <c r="A421" s="68"/>
      <c r="B421" s="69"/>
      <c r="C421" s="240" t="s">
        <v>605</v>
      </c>
      <c r="D421" s="240"/>
      <c r="E421" s="241"/>
      <c r="F421" s="70"/>
      <c r="G421" s="71"/>
      <c r="H421" s="240" t="s">
        <v>143</v>
      </c>
      <c r="I421" s="240"/>
      <c r="J421" s="240"/>
      <c r="K421" s="241"/>
      <c r="L421" s="49"/>
      <c r="M421" s="49"/>
      <c r="N421" s="49"/>
      <c r="O421" s="49"/>
      <c r="P421" s="49"/>
      <c r="Q421" s="49"/>
      <c r="R421" s="72"/>
      <c r="S421" s="49"/>
      <c r="T421" s="49"/>
      <c r="U421" s="49"/>
      <c r="V421" s="49"/>
      <c r="W421" s="49"/>
      <c r="X421" s="49"/>
      <c r="Y421" s="49"/>
      <c r="Z421" s="49"/>
      <c r="AA421" s="49"/>
      <c r="AB421" s="49"/>
      <c r="AC421" s="49">
        <f t="shared" si="102"/>
        <v>0</v>
      </c>
      <c r="AD421" s="49"/>
      <c r="AE421" s="49"/>
      <c r="AF421" s="49"/>
      <c r="AG421" s="49"/>
      <c r="AH421" s="49"/>
      <c r="AI421" s="49"/>
      <c r="AJ421" s="49"/>
      <c r="AK421" s="49"/>
      <c r="AL421" s="49"/>
      <c r="AM421" s="49"/>
      <c r="AN421" s="49"/>
      <c r="AO421" s="49"/>
      <c r="AP421" s="49"/>
      <c r="AQ421" s="49"/>
      <c r="AR421" s="49"/>
      <c r="AS421" s="49"/>
      <c r="AT421" s="49"/>
      <c r="AU421" s="49"/>
      <c r="AV421" s="49"/>
      <c r="AW421" s="49"/>
      <c r="AX421" s="49"/>
      <c r="AY421" s="49"/>
      <c r="AZ421" s="73">
        <f t="shared" si="107"/>
        <v>0</v>
      </c>
    </row>
    <row r="422" spans="1:53" ht="20.100000000000001" customHeight="1">
      <c r="A422" s="68"/>
      <c r="B422" s="69"/>
      <c r="C422" s="240" t="s">
        <v>606</v>
      </c>
      <c r="D422" s="240"/>
      <c r="E422" s="241"/>
      <c r="F422" s="70"/>
      <c r="G422" s="71"/>
      <c r="H422" s="71"/>
      <c r="I422" s="240" t="s">
        <v>145</v>
      </c>
      <c r="J422" s="240"/>
      <c r="K422" s="241"/>
      <c r="L422" s="49"/>
      <c r="M422" s="49"/>
      <c r="N422" s="49"/>
      <c r="O422" s="49"/>
      <c r="P422" s="49"/>
      <c r="Q422" s="49"/>
      <c r="R422" s="72"/>
      <c r="S422" s="49"/>
      <c r="T422" s="49"/>
      <c r="U422" s="49"/>
      <c r="V422" s="49"/>
      <c r="W422" s="49"/>
      <c r="X422" s="49"/>
      <c r="Y422" s="49"/>
      <c r="Z422" s="49"/>
      <c r="AA422" s="49"/>
      <c r="AB422" s="49"/>
      <c r="AC422" s="49">
        <f t="shared" si="102"/>
        <v>0</v>
      </c>
      <c r="AD422" s="49"/>
      <c r="AE422" s="49"/>
      <c r="AF422" s="49"/>
      <c r="AG422" s="49"/>
      <c r="AH422" s="49"/>
      <c r="AI422" s="49"/>
      <c r="AJ422" s="49"/>
      <c r="AK422" s="49"/>
      <c r="AL422" s="49"/>
      <c r="AM422" s="49"/>
      <c r="AN422" s="49"/>
      <c r="AO422" s="49"/>
      <c r="AP422" s="49"/>
      <c r="AQ422" s="49"/>
      <c r="AR422" s="49"/>
      <c r="AS422" s="49"/>
      <c r="AT422" s="49"/>
      <c r="AU422" s="49"/>
      <c r="AV422" s="49"/>
      <c r="AW422" s="49"/>
      <c r="AX422" s="49"/>
      <c r="AY422" s="49"/>
      <c r="AZ422" s="73">
        <f t="shared" si="107"/>
        <v>0</v>
      </c>
    </row>
    <row r="423" spans="1:53" ht="20.100000000000001" customHeight="1">
      <c r="A423" s="68"/>
      <c r="B423" s="69"/>
      <c r="C423" s="240" t="s">
        <v>607</v>
      </c>
      <c r="D423" s="240"/>
      <c r="E423" s="241"/>
      <c r="F423" s="70"/>
      <c r="G423" s="71"/>
      <c r="H423" s="71"/>
      <c r="I423" s="71"/>
      <c r="J423" s="240" t="s">
        <v>147</v>
      </c>
      <c r="K423" s="241"/>
      <c r="L423" s="49">
        <v>3054000</v>
      </c>
      <c r="M423" s="49">
        <v>0</v>
      </c>
      <c r="N423" s="49"/>
      <c r="O423" s="49"/>
      <c r="P423" s="49"/>
      <c r="Q423" s="49">
        <f>SUM(N423:P423)</f>
        <v>0</v>
      </c>
      <c r="R423" s="72"/>
      <c r="S423" s="49">
        <f>M423-Q423</f>
        <v>0</v>
      </c>
      <c r="T423" s="49">
        <v>3054000</v>
      </c>
      <c r="U423" s="49">
        <f>T423+M423</f>
        <v>3054000</v>
      </c>
      <c r="V423" s="49">
        <f>T423+S423</f>
        <v>3054000</v>
      </c>
      <c r="W423" s="49"/>
      <c r="X423" s="49"/>
      <c r="Y423" s="49"/>
      <c r="Z423" s="49"/>
      <c r="AA423" s="49">
        <v>0</v>
      </c>
      <c r="AB423" s="49">
        <v>3054000</v>
      </c>
      <c r="AC423" s="49">
        <f t="shared" si="102"/>
        <v>0</v>
      </c>
      <c r="AD423" s="49">
        <f>AA423+T423+M423</f>
        <v>3054000</v>
      </c>
      <c r="AE423" s="49"/>
      <c r="AF423" s="49"/>
      <c r="AG423" s="49"/>
      <c r="AH423" s="49"/>
      <c r="AI423" s="49"/>
      <c r="AJ423" s="49">
        <v>3053850</v>
      </c>
      <c r="AK423" s="49">
        <f>Z423+Y423+X423+W423+N423+AG423+AJ423+AI423+AH423</f>
        <v>3053850</v>
      </c>
      <c r="AL423" s="49">
        <f>AK423/AD423*100</f>
        <v>99.995088408644406</v>
      </c>
      <c r="AM423" s="49"/>
      <c r="AN423" s="49"/>
      <c r="AO423" s="49"/>
      <c r="AP423" s="49"/>
      <c r="AQ423" s="49">
        <f>AK423+AM423+AN423+AO423+AP423</f>
        <v>3053850</v>
      </c>
      <c r="AR423" s="49">
        <f>AQ423/AB423*100</f>
        <v>99.995088408644406</v>
      </c>
      <c r="AS423" s="49">
        <f>AB423-AQ423</f>
        <v>150</v>
      </c>
      <c r="AT423" s="49">
        <v>3091500</v>
      </c>
      <c r="AU423" s="49">
        <f>AT423+U423</f>
        <v>6145500</v>
      </c>
      <c r="AV423" s="49">
        <f>AK423</f>
        <v>3053850</v>
      </c>
      <c r="AW423" s="72">
        <f>AV423/AU423*100</f>
        <v>49.69245789602148</v>
      </c>
      <c r="AX423" s="49">
        <f>AU423-AV423</f>
        <v>3091650</v>
      </c>
      <c r="AY423" s="49">
        <f>AS423/AB423*100</f>
        <v>4.911591355599214E-3</v>
      </c>
      <c r="AZ423" s="73">
        <f t="shared" si="107"/>
        <v>3053850</v>
      </c>
    </row>
    <row r="424" spans="1:53" ht="20.100000000000001" customHeight="1">
      <c r="A424" s="68"/>
      <c r="B424" s="69"/>
      <c r="C424" s="240" t="s">
        <v>608</v>
      </c>
      <c r="D424" s="240"/>
      <c r="E424" s="241"/>
      <c r="F424" s="70"/>
      <c r="G424" s="71"/>
      <c r="H424" s="71"/>
      <c r="I424" s="240" t="s">
        <v>389</v>
      </c>
      <c r="J424" s="240"/>
      <c r="K424" s="241"/>
      <c r="L424" s="49"/>
      <c r="M424" s="49"/>
      <c r="N424" s="49"/>
      <c r="O424" s="49"/>
      <c r="P424" s="49"/>
      <c r="Q424" s="49"/>
      <c r="R424" s="72"/>
      <c r="S424" s="49"/>
      <c r="T424" s="49"/>
      <c r="U424" s="49"/>
      <c r="V424" s="49"/>
      <c r="W424" s="49"/>
      <c r="X424" s="49"/>
      <c r="Y424" s="49"/>
      <c r="Z424" s="49"/>
      <c r="AA424" s="49"/>
      <c r="AB424" s="49"/>
      <c r="AC424" s="49">
        <f t="shared" si="102"/>
        <v>0</v>
      </c>
      <c r="AD424" s="49"/>
      <c r="AE424" s="49"/>
      <c r="AF424" s="49"/>
      <c r="AG424" s="49"/>
      <c r="AH424" s="49"/>
      <c r="AI424" s="49"/>
      <c r="AJ424" s="49"/>
      <c r="AK424" s="49"/>
      <c r="AL424" s="49"/>
      <c r="AM424" s="49"/>
      <c r="AN424" s="49"/>
      <c r="AO424" s="49"/>
      <c r="AP424" s="49"/>
      <c r="AQ424" s="49"/>
      <c r="AR424" s="49"/>
      <c r="AS424" s="49"/>
      <c r="AT424" s="49"/>
      <c r="AU424" s="49"/>
      <c r="AV424" s="49"/>
      <c r="AW424" s="49"/>
      <c r="AX424" s="49"/>
      <c r="AY424" s="49"/>
      <c r="AZ424" s="73">
        <f t="shared" si="107"/>
        <v>0</v>
      </c>
    </row>
    <row r="425" spans="1:53" ht="20.100000000000001" customHeight="1">
      <c r="A425" s="68"/>
      <c r="B425" s="69"/>
      <c r="C425" s="240" t="s">
        <v>609</v>
      </c>
      <c r="D425" s="240"/>
      <c r="E425" s="241"/>
      <c r="F425" s="70"/>
      <c r="G425" s="71"/>
      <c r="H425" s="71"/>
      <c r="I425" s="71"/>
      <c r="J425" s="240" t="s">
        <v>610</v>
      </c>
      <c r="K425" s="241"/>
      <c r="L425" s="49">
        <v>400000</v>
      </c>
      <c r="M425" s="49">
        <v>0</v>
      </c>
      <c r="N425" s="49"/>
      <c r="O425" s="49"/>
      <c r="P425" s="49"/>
      <c r="Q425" s="49">
        <f>SUM(N425:P425)</f>
        <v>0</v>
      </c>
      <c r="R425" s="72"/>
      <c r="S425" s="49">
        <f>M425-Q425</f>
        <v>0</v>
      </c>
      <c r="T425" s="49">
        <v>0</v>
      </c>
      <c r="U425" s="49">
        <f>T425+M425</f>
        <v>0</v>
      </c>
      <c r="V425" s="49">
        <f>T425+S425</f>
        <v>0</v>
      </c>
      <c r="W425" s="49"/>
      <c r="X425" s="49"/>
      <c r="Y425" s="49"/>
      <c r="Z425" s="49"/>
      <c r="AA425" s="49">
        <v>400000</v>
      </c>
      <c r="AB425" s="49">
        <v>400000</v>
      </c>
      <c r="AC425" s="49">
        <f t="shared" si="102"/>
        <v>0</v>
      </c>
      <c r="AD425" s="49">
        <f>AA425+T425+M425</f>
        <v>400000</v>
      </c>
      <c r="AE425" s="49"/>
      <c r="AF425" s="49"/>
      <c r="AG425" s="49"/>
      <c r="AH425" s="49"/>
      <c r="AI425" s="49"/>
      <c r="AJ425" s="49">
        <v>400000</v>
      </c>
      <c r="AK425" s="49">
        <f>Z425+Y425+X425+W425+N425+AG425+AJ425+AI425+AH425</f>
        <v>400000</v>
      </c>
      <c r="AL425" s="49">
        <f>AK425/AD425*100</f>
        <v>100</v>
      </c>
      <c r="AM425" s="49"/>
      <c r="AN425" s="49"/>
      <c r="AO425" s="49"/>
      <c r="AP425" s="49"/>
      <c r="AQ425" s="49">
        <f>AK425+AM425+AN425+AO425+AP425</f>
        <v>400000</v>
      </c>
      <c r="AR425" s="49">
        <f>AQ425/AB425*100</f>
        <v>100</v>
      </c>
      <c r="AS425" s="49">
        <f>AB425-AQ425</f>
        <v>0</v>
      </c>
      <c r="AT425" s="49">
        <v>3091500</v>
      </c>
      <c r="AU425" s="49">
        <f>AT425+U425</f>
        <v>3091500</v>
      </c>
      <c r="AV425" s="49">
        <f>AK425</f>
        <v>400000</v>
      </c>
      <c r="AW425" s="72">
        <f>AV425/AU425*100</f>
        <v>12.938702895034773</v>
      </c>
      <c r="AX425" s="49">
        <f>AU425-AV425</f>
        <v>2691500</v>
      </c>
      <c r="AY425" s="49">
        <f>AS425/AB425*100</f>
        <v>0</v>
      </c>
      <c r="AZ425" s="73">
        <f t="shared" si="107"/>
        <v>400000</v>
      </c>
    </row>
    <row r="426" spans="1:53" ht="20.100000000000001" customHeight="1">
      <c r="A426" s="68"/>
      <c r="B426" s="69"/>
      <c r="C426" s="240" t="s">
        <v>611</v>
      </c>
      <c r="D426" s="240"/>
      <c r="E426" s="241"/>
      <c r="F426" s="70"/>
      <c r="G426" s="71"/>
      <c r="H426" s="71"/>
      <c r="I426" s="71"/>
      <c r="J426" s="240" t="s">
        <v>391</v>
      </c>
      <c r="K426" s="241"/>
      <c r="L426" s="49">
        <v>11962000</v>
      </c>
      <c r="M426" s="49">
        <v>0</v>
      </c>
      <c r="N426" s="49"/>
      <c r="O426" s="49"/>
      <c r="P426" s="49"/>
      <c r="Q426" s="49">
        <f>SUM(N426:P426)</f>
        <v>0</v>
      </c>
      <c r="R426" s="72"/>
      <c r="S426" s="49">
        <f>M426-Q426</f>
        <v>0</v>
      </c>
      <c r="T426" s="49">
        <v>0</v>
      </c>
      <c r="U426" s="49">
        <f>T426+M426</f>
        <v>0</v>
      </c>
      <c r="V426" s="49">
        <f>T426+S426</f>
        <v>0</v>
      </c>
      <c r="W426" s="49"/>
      <c r="X426" s="49"/>
      <c r="Y426" s="49"/>
      <c r="Z426" s="49"/>
      <c r="AA426" s="49">
        <v>11962000</v>
      </c>
      <c r="AB426" s="49">
        <v>11962000</v>
      </c>
      <c r="AC426" s="49">
        <f t="shared" si="102"/>
        <v>0</v>
      </c>
      <c r="AD426" s="49">
        <f>AA426+T426+M426</f>
        <v>11962000</v>
      </c>
      <c r="AE426" s="49"/>
      <c r="AF426" s="49"/>
      <c r="AG426" s="49"/>
      <c r="AH426" s="49"/>
      <c r="AI426" s="49"/>
      <c r="AJ426" s="49">
        <v>2133885</v>
      </c>
      <c r="AK426" s="49">
        <f>Z426+Y426+X426+W426+N426+AG426+AJ426+AI426+AH426</f>
        <v>2133885</v>
      </c>
      <c r="AL426" s="49">
        <f>AK426/AD426*100</f>
        <v>17.838864738338071</v>
      </c>
      <c r="AM426" s="49"/>
      <c r="AN426" s="42">
        <v>9800000</v>
      </c>
      <c r="AO426" s="49"/>
      <c r="AP426" s="49"/>
      <c r="AQ426" s="49">
        <f>AK426+AM426+AN426+AO426+AP426</f>
        <v>11933885</v>
      </c>
      <c r="AR426" s="49">
        <f>AQ426/AB426*100</f>
        <v>99.764964052833975</v>
      </c>
      <c r="AS426" s="49">
        <f>AB426-AQ426</f>
        <v>28115</v>
      </c>
      <c r="AT426" s="49">
        <v>3091500</v>
      </c>
      <c r="AU426" s="49">
        <f>AT426+U426</f>
        <v>3091500</v>
      </c>
      <c r="AV426" s="49">
        <f>AK426</f>
        <v>2133885</v>
      </c>
      <c r="AW426" s="72">
        <f>AV426/AU426*100</f>
        <v>69.024260067928196</v>
      </c>
      <c r="AX426" s="49">
        <f>AU426-AV426</f>
        <v>957615</v>
      </c>
      <c r="AY426" s="49">
        <f>AS426/AB426*100</f>
        <v>0.23503594716602574</v>
      </c>
      <c r="AZ426" s="73">
        <f t="shared" si="107"/>
        <v>11933885</v>
      </c>
    </row>
    <row r="427" spans="1:53" ht="20.100000000000001" customHeight="1">
      <c r="A427" s="68"/>
      <c r="B427" s="69"/>
      <c r="C427" s="240" t="s">
        <v>612</v>
      </c>
      <c r="D427" s="240"/>
      <c r="E427" s="241"/>
      <c r="F427" s="70"/>
      <c r="G427" s="71"/>
      <c r="H427" s="71"/>
      <c r="I427" s="240" t="s">
        <v>163</v>
      </c>
      <c r="J427" s="240"/>
      <c r="K427" s="241"/>
      <c r="L427" s="49"/>
      <c r="M427" s="49"/>
      <c r="N427" s="49"/>
      <c r="O427" s="49"/>
      <c r="P427" s="49"/>
      <c r="Q427" s="49"/>
      <c r="R427" s="72"/>
      <c r="S427" s="49"/>
      <c r="T427" s="49"/>
      <c r="U427" s="49"/>
      <c r="V427" s="49"/>
      <c r="W427" s="49"/>
      <c r="X427" s="49"/>
      <c r="Y427" s="49"/>
      <c r="Z427" s="49"/>
      <c r="AA427" s="49"/>
      <c r="AB427" s="49"/>
      <c r="AC427" s="49">
        <f t="shared" si="102"/>
        <v>0</v>
      </c>
      <c r="AD427" s="49"/>
      <c r="AE427" s="49"/>
      <c r="AF427" s="49"/>
      <c r="AG427" s="49"/>
      <c r="AH427" s="49"/>
      <c r="AI427" s="49"/>
      <c r="AJ427" s="49"/>
      <c r="AK427" s="49"/>
      <c r="AL427" s="49"/>
      <c r="AM427" s="49"/>
      <c r="AN427" s="49"/>
      <c r="AO427" s="49"/>
      <c r="AP427" s="49"/>
      <c r="AQ427" s="49"/>
      <c r="AR427" s="49"/>
      <c r="AS427" s="49"/>
      <c r="AT427" s="49"/>
      <c r="AU427" s="49"/>
      <c r="AV427" s="49"/>
      <c r="AW427" s="49"/>
      <c r="AX427" s="49"/>
      <c r="AY427" s="49"/>
      <c r="AZ427" s="73">
        <f t="shared" si="107"/>
        <v>0</v>
      </c>
    </row>
    <row r="428" spans="1:53" ht="20.100000000000001" customHeight="1">
      <c r="A428" s="68"/>
      <c r="B428" s="69"/>
      <c r="C428" s="240" t="s">
        <v>613</v>
      </c>
      <c r="D428" s="240"/>
      <c r="E428" s="241"/>
      <c r="F428" s="70"/>
      <c r="G428" s="71"/>
      <c r="H428" s="71"/>
      <c r="I428" s="71"/>
      <c r="J428" s="240" t="s">
        <v>349</v>
      </c>
      <c r="K428" s="241"/>
      <c r="L428" s="49">
        <v>500000</v>
      </c>
      <c r="M428" s="49">
        <v>0</v>
      </c>
      <c r="N428" s="49"/>
      <c r="O428" s="49"/>
      <c r="P428" s="49"/>
      <c r="Q428" s="49">
        <f>SUM(N428:P428)</f>
        <v>0</v>
      </c>
      <c r="R428" s="72"/>
      <c r="S428" s="49">
        <f>M428-Q428</f>
        <v>0</v>
      </c>
      <c r="T428" s="49">
        <v>0</v>
      </c>
      <c r="U428" s="49">
        <f>T428+M428</f>
        <v>0</v>
      </c>
      <c r="V428" s="49">
        <f>T428+S428</f>
        <v>0</v>
      </c>
      <c r="W428" s="49"/>
      <c r="X428" s="49"/>
      <c r="Y428" s="49"/>
      <c r="Z428" s="49"/>
      <c r="AA428" s="49">
        <v>500000</v>
      </c>
      <c r="AB428" s="49">
        <v>500000</v>
      </c>
      <c r="AC428" s="49">
        <f t="shared" si="102"/>
        <v>0</v>
      </c>
      <c r="AD428" s="49">
        <f>AA428+T428+M428</f>
        <v>500000</v>
      </c>
      <c r="AE428" s="49"/>
      <c r="AF428" s="49"/>
      <c r="AG428" s="49"/>
      <c r="AH428" s="49"/>
      <c r="AI428" s="49"/>
      <c r="AJ428" s="49">
        <v>500000</v>
      </c>
      <c r="AK428" s="49">
        <f>Z428+Y428+X428+W428+N428+AG428+AJ428+AI428+AH428</f>
        <v>500000</v>
      </c>
      <c r="AL428" s="49">
        <f>AK428/AD428*100</f>
        <v>100</v>
      </c>
      <c r="AM428" s="49"/>
      <c r="AN428" s="49"/>
      <c r="AO428" s="49"/>
      <c r="AP428" s="49"/>
      <c r="AQ428" s="49">
        <f>AK428+AM428+AN428+AO428+AP428</f>
        <v>500000</v>
      </c>
      <c r="AR428" s="49">
        <f>AQ428/AB428*100</f>
        <v>100</v>
      </c>
      <c r="AS428" s="49">
        <f>AB428-AQ428</f>
        <v>0</v>
      </c>
      <c r="AT428" s="49">
        <v>3091500</v>
      </c>
      <c r="AU428" s="49">
        <f>AT428+U428</f>
        <v>3091500</v>
      </c>
      <c r="AV428" s="49">
        <f>AK428</f>
        <v>500000</v>
      </c>
      <c r="AW428" s="72">
        <f>AV428/AU428*100</f>
        <v>16.173378618793464</v>
      </c>
      <c r="AX428" s="49">
        <f>AU428-AV428</f>
        <v>2591500</v>
      </c>
      <c r="AY428" s="49">
        <f>AS428/AB428*100</f>
        <v>0</v>
      </c>
      <c r="AZ428" s="73">
        <f t="shared" si="107"/>
        <v>500000</v>
      </c>
    </row>
    <row r="429" spans="1:53" ht="20.100000000000001" customHeight="1">
      <c r="A429" s="68"/>
      <c r="B429" s="69"/>
      <c r="C429" s="240" t="s">
        <v>614</v>
      </c>
      <c r="D429" s="240"/>
      <c r="E429" s="241"/>
      <c r="F429" s="70"/>
      <c r="G429" s="71"/>
      <c r="H429" s="71"/>
      <c r="I429" s="71"/>
      <c r="J429" s="240" t="s">
        <v>615</v>
      </c>
      <c r="K429" s="241"/>
      <c r="L429" s="49">
        <v>4000000</v>
      </c>
      <c r="M429" s="49">
        <v>0</v>
      </c>
      <c r="N429" s="49"/>
      <c r="O429" s="49"/>
      <c r="P429" s="49"/>
      <c r="Q429" s="49">
        <f>SUM(N429:P429)</f>
        <v>0</v>
      </c>
      <c r="R429" s="72"/>
      <c r="S429" s="49">
        <f>M429-Q429</f>
        <v>0</v>
      </c>
      <c r="T429" s="49">
        <v>0</v>
      </c>
      <c r="U429" s="49">
        <f>T429+M429</f>
        <v>0</v>
      </c>
      <c r="V429" s="49">
        <f>T429+S429</f>
        <v>0</v>
      </c>
      <c r="W429" s="49"/>
      <c r="X429" s="49"/>
      <c r="Y429" s="49"/>
      <c r="Z429" s="49"/>
      <c r="AA429" s="49">
        <v>4000000</v>
      </c>
      <c r="AB429" s="49">
        <v>4000000</v>
      </c>
      <c r="AC429" s="49">
        <f t="shared" si="102"/>
        <v>0</v>
      </c>
      <c r="AD429" s="49">
        <f>AA429+T429+M429</f>
        <v>4000000</v>
      </c>
      <c r="AE429" s="49"/>
      <c r="AF429" s="49"/>
      <c r="AG429" s="49"/>
      <c r="AH429" s="49"/>
      <c r="AI429" s="49"/>
      <c r="AJ429" s="49"/>
      <c r="AK429" s="49">
        <f>Z429+Y429+X429+W429+N429+AG429+AJ429+AI429+AH429</f>
        <v>0</v>
      </c>
      <c r="AL429" s="49">
        <f>AK429/AD429*100</f>
        <v>0</v>
      </c>
      <c r="AM429" s="49"/>
      <c r="AN429" s="42">
        <v>2300000</v>
      </c>
      <c r="AO429" s="49"/>
      <c r="AP429" s="49"/>
      <c r="AQ429" s="49">
        <f>AK429+AM429+AN429+AO429+AP429</f>
        <v>2300000</v>
      </c>
      <c r="AR429" s="49">
        <f>AQ429/AB429*100</f>
        <v>57.499999999999993</v>
      </c>
      <c r="AS429" s="49">
        <f>AB429-AQ429</f>
        <v>1700000</v>
      </c>
      <c r="AT429" s="49">
        <v>3091500</v>
      </c>
      <c r="AU429" s="49">
        <f>AT429+U429</f>
        <v>3091500</v>
      </c>
      <c r="AV429" s="49">
        <f>AK429</f>
        <v>0</v>
      </c>
      <c r="AW429" s="72">
        <f>AV429/AU429*100</f>
        <v>0</v>
      </c>
      <c r="AX429" s="49">
        <f>AU429-AV429</f>
        <v>3091500</v>
      </c>
      <c r="AY429" s="49">
        <f>AS429/AB429*100</f>
        <v>42.5</v>
      </c>
      <c r="AZ429" s="73">
        <f t="shared" si="107"/>
        <v>2300000</v>
      </c>
    </row>
    <row r="430" spans="1:53" ht="20.100000000000001" customHeight="1">
      <c r="A430" s="68"/>
      <c r="B430" s="69"/>
      <c r="C430" s="240" t="s">
        <v>616</v>
      </c>
      <c r="D430" s="240"/>
      <c r="E430" s="241"/>
      <c r="F430" s="70"/>
      <c r="G430" s="71"/>
      <c r="H430" s="71"/>
      <c r="I430" s="71"/>
      <c r="J430" s="240" t="s">
        <v>352</v>
      </c>
      <c r="K430" s="241"/>
      <c r="L430" s="49">
        <v>9600000</v>
      </c>
      <c r="M430" s="49">
        <v>0</v>
      </c>
      <c r="N430" s="49"/>
      <c r="O430" s="49"/>
      <c r="P430" s="49"/>
      <c r="Q430" s="49">
        <f>SUM(N430:P430)</f>
        <v>0</v>
      </c>
      <c r="R430" s="72"/>
      <c r="S430" s="49">
        <f>M430-Q430</f>
        <v>0</v>
      </c>
      <c r="T430" s="49">
        <v>0</v>
      </c>
      <c r="U430" s="49">
        <f>T430+M430</f>
        <v>0</v>
      </c>
      <c r="V430" s="49">
        <f>T430+S430</f>
        <v>0</v>
      </c>
      <c r="W430" s="49"/>
      <c r="X430" s="49"/>
      <c r="Y430" s="49"/>
      <c r="Z430" s="49"/>
      <c r="AA430" s="49">
        <v>9600000</v>
      </c>
      <c r="AB430" s="49">
        <v>9600000</v>
      </c>
      <c r="AC430" s="49">
        <f t="shared" si="102"/>
        <v>0</v>
      </c>
      <c r="AD430" s="49">
        <f>AA430+T430+M430</f>
        <v>9600000</v>
      </c>
      <c r="AE430" s="49"/>
      <c r="AF430" s="49"/>
      <c r="AG430" s="49"/>
      <c r="AH430" s="49"/>
      <c r="AI430" s="49"/>
      <c r="AJ430" s="49">
        <v>9600000</v>
      </c>
      <c r="AK430" s="49">
        <f>Z430+Y430+X430+W430+N430+AG430+AJ430+AI430+AH430</f>
        <v>9600000</v>
      </c>
      <c r="AL430" s="49">
        <f>AK430/AD430*100</f>
        <v>100</v>
      </c>
      <c r="AM430" s="49"/>
      <c r="AN430" s="49"/>
      <c r="AO430" s="49"/>
      <c r="AP430" s="49"/>
      <c r="AQ430" s="49">
        <f>AK430+AM430+AN430+AO430+AP430</f>
        <v>9600000</v>
      </c>
      <c r="AR430" s="49">
        <f>AQ430/AB430*100</f>
        <v>100</v>
      </c>
      <c r="AS430" s="49">
        <f>AB430-AQ430</f>
        <v>0</v>
      </c>
      <c r="AT430" s="49">
        <v>3091500</v>
      </c>
      <c r="AU430" s="49">
        <f>AT430+U430</f>
        <v>3091500</v>
      </c>
      <c r="AV430" s="49">
        <f>AK430</f>
        <v>9600000</v>
      </c>
      <c r="AW430" s="72">
        <f>AV430/AU430*100</f>
        <v>310.52886948083454</v>
      </c>
      <c r="AX430" s="49">
        <f>AU430-AV430</f>
        <v>-6508500</v>
      </c>
      <c r="AY430" s="49">
        <f>AS430/AB430*100</f>
        <v>0</v>
      </c>
      <c r="AZ430" s="73">
        <f t="shared" si="107"/>
        <v>9600000</v>
      </c>
    </row>
    <row r="431" spans="1:53" ht="20.100000000000001" customHeight="1">
      <c r="A431" s="68"/>
      <c r="B431" s="69"/>
      <c r="C431" s="240" t="s">
        <v>617</v>
      </c>
      <c r="D431" s="240"/>
      <c r="E431" s="241"/>
      <c r="F431" s="70"/>
      <c r="G431" s="71"/>
      <c r="H431" s="71"/>
      <c r="I431" s="240" t="s">
        <v>151</v>
      </c>
      <c r="J431" s="240"/>
      <c r="K431" s="241"/>
      <c r="L431" s="49"/>
      <c r="M431" s="49"/>
      <c r="N431" s="49"/>
      <c r="O431" s="49"/>
      <c r="P431" s="49"/>
      <c r="Q431" s="49"/>
      <c r="R431" s="72"/>
      <c r="S431" s="49"/>
      <c r="T431" s="49"/>
      <c r="U431" s="49"/>
      <c r="V431" s="49"/>
      <c r="W431" s="49"/>
      <c r="X431" s="49"/>
      <c r="Y431" s="49"/>
      <c r="Z431" s="49"/>
      <c r="AA431" s="49"/>
      <c r="AB431" s="49"/>
      <c r="AC431" s="49">
        <f t="shared" si="102"/>
        <v>0</v>
      </c>
      <c r="AD431" s="49"/>
      <c r="AE431" s="49"/>
      <c r="AF431" s="49"/>
      <c r="AG431" s="49"/>
      <c r="AH431" s="49"/>
      <c r="AI431" s="49"/>
      <c r="AJ431" s="49"/>
      <c r="AK431" s="49"/>
      <c r="AL431" s="49"/>
      <c r="AM431" s="49"/>
      <c r="AN431" s="49"/>
      <c r="AO431" s="49"/>
      <c r="AP431" s="49"/>
      <c r="AQ431" s="49"/>
      <c r="AR431" s="49"/>
      <c r="AS431" s="49"/>
      <c r="AT431" s="49"/>
      <c r="AU431" s="49"/>
      <c r="AV431" s="49"/>
      <c r="AW431" s="49"/>
      <c r="AX431" s="49"/>
      <c r="AY431" s="49"/>
      <c r="AZ431" s="73">
        <f t="shared" si="107"/>
        <v>0</v>
      </c>
    </row>
    <row r="432" spans="1:53" ht="20.100000000000001" customHeight="1">
      <c r="A432" s="68"/>
      <c r="B432" s="69"/>
      <c r="C432" s="240" t="s">
        <v>618</v>
      </c>
      <c r="D432" s="240"/>
      <c r="E432" s="241"/>
      <c r="F432" s="70"/>
      <c r="G432" s="71"/>
      <c r="H432" s="71"/>
      <c r="I432" s="71"/>
      <c r="J432" s="240" t="s">
        <v>155</v>
      </c>
      <c r="K432" s="241"/>
      <c r="L432" s="49">
        <v>700000</v>
      </c>
      <c r="M432" s="49">
        <v>0</v>
      </c>
      <c r="N432" s="49"/>
      <c r="O432" s="49"/>
      <c r="P432" s="49"/>
      <c r="Q432" s="49">
        <f>SUM(N432:P432)</f>
        <v>0</v>
      </c>
      <c r="R432" s="72"/>
      <c r="S432" s="49">
        <f>M432-Q432</f>
        <v>0</v>
      </c>
      <c r="T432" s="49">
        <v>0</v>
      </c>
      <c r="U432" s="49">
        <f>T432+M432</f>
        <v>0</v>
      </c>
      <c r="V432" s="49">
        <f>T432+S432</f>
        <v>0</v>
      </c>
      <c r="W432" s="49"/>
      <c r="X432" s="49"/>
      <c r="Y432" s="49"/>
      <c r="Z432" s="49"/>
      <c r="AA432" s="49">
        <v>700000</v>
      </c>
      <c r="AB432" s="49">
        <v>700000</v>
      </c>
      <c r="AC432" s="49">
        <f t="shared" si="102"/>
        <v>0</v>
      </c>
      <c r="AD432" s="49">
        <f>AA432+T432+M432</f>
        <v>700000</v>
      </c>
      <c r="AE432" s="49"/>
      <c r="AF432" s="49"/>
      <c r="AG432" s="49"/>
      <c r="AH432" s="49"/>
      <c r="AI432" s="49"/>
      <c r="AJ432" s="49">
        <v>700000</v>
      </c>
      <c r="AK432" s="49">
        <f>Z432+Y432+X432+W432+N432+AG432+AJ432+AI432+AH432</f>
        <v>700000</v>
      </c>
      <c r="AL432" s="49">
        <f>AK432/AD432*100</f>
        <v>100</v>
      </c>
      <c r="AM432" s="49"/>
      <c r="AN432" s="49"/>
      <c r="AO432" s="49"/>
      <c r="AP432" s="49"/>
      <c r="AQ432" s="49">
        <f>AK432+AM432+AN432+AO432+AP432</f>
        <v>700000</v>
      </c>
      <c r="AR432" s="49">
        <f>AQ432/AB432*100</f>
        <v>100</v>
      </c>
      <c r="AS432" s="49">
        <f>AB432-AQ432</f>
        <v>0</v>
      </c>
      <c r="AT432" s="49">
        <v>3091500</v>
      </c>
      <c r="AU432" s="49">
        <f>AT432+U432</f>
        <v>3091500</v>
      </c>
      <c r="AV432" s="49">
        <f>AK432</f>
        <v>700000</v>
      </c>
      <c r="AW432" s="72">
        <f>AV432/AU432*100</f>
        <v>22.64273006631085</v>
      </c>
      <c r="AX432" s="49">
        <f>AU432-AV432</f>
        <v>2391500</v>
      </c>
      <c r="AY432" s="49">
        <f>AS432/AB432*100</f>
        <v>0</v>
      </c>
      <c r="AZ432" s="73">
        <f t="shared" si="107"/>
        <v>700000</v>
      </c>
    </row>
    <row r="433" spans="1:52" ht="20.100000000000001" customHeight="1">
      <c r="A433" s="68"/>
      <c r="B433" s="69"/>
      <c r="C433" s="240" t="s">
        <v>619</v>
      </c>
      <c r="D433" s="240"/>
      <c r="E433" s="241"/>
      <c r="F433" s="70"/>
      <c r="G433" s="71"/>
      <c r="H433" s="71"/>
      <c r="I433" s="240" t="s">
        <v>193</v>
      </c>
      <c r="J433" s="240"/>
      <c r="K433" s="241"/>
      <c r="L433" s="49"/>
      <c r="M433" s="49"/>
      <c r="N433" s="49"/>
      <c r="O433" s="49"/>
      <c r="P433" s="49"/>
      <c r="Q433" s="49"/>
      <c r="R433" s="72"/>
      <c r="S433" s="49"/>
      <c r="T433" s="49"/>
      <c r="U433" s="49"/>
      <c r="V433" s="49"/>
      <c r="W433" s="49"/>
      <c r="X433" s="49"/>
      <c r="Y433" s="49"/>
      <c r="Z433" s="49"/>
      <c r="AA433" s="49"/>
      <c r="AB433" s="49"/>
      <c r="AC433" s="49">
        <f t="shared" si="102"/>
        <v>0</v>
      </c>
      <c r="AD433" s="49"/>
      <c r="AE433" s="49"/>
      <c r="AF433" s="49"/>
      <c r="AG433" s="49"/>
      <c r="AH433" s="49"/>
      <c r="AI433" s="49"/>
      <c r="AJ433" s="49"/>
      <c r="AK433" s="49"/>
      <c r="AL433" s="49"/>
      <c r="AM433" s="49"/>
      <c r="AN433" s="49"/>
      <c r="AO433" s="49"/>
      <c r="AP433" s="49"/>
      <c r="AQ433" s="49"/>
      <c r="AR433" s="49"/>
      <c r="AS433" s="49"/>
      <c r="AT433" s="49"/>
      <c r="AU433" s="49"/>
      <c r="AV433" s="49"/>
      <c r="AW433" s="49"/>
      <c r="AX433" s="49"/>
      <c r="AY433" s="49"/>
      <c r="AZ433" s="73">
        <f t="shared" si="107"/>
        <v>0</v>
      </c>
    </row>
    <row r="434" spans="1:52" ht="20.100000000000001" customHeight="1">
      <c r="A434" s="68"/>
      <c r="B434" s="69"/>
      <c r="C434" s="240" t="s">
        <v>620</v>
      </c>
      <c r="D434" s="240"/>
      <c r="E434" s="241"/>
      <c r="F434" s="70"/>
      <c r="G434" s="71"/>
      <c r="H434" s="71"/>
      <c r="I434" s="71"/>
      <c r="J434" s="240" t="s">
        <v>195</v>
      </c>
      <c r="K434" s="241"/>
      <c r="L434" s="49">
        <v>10875000</v>
      </c>
      <c r="M434" s="49">
        <v>0</v>
      </c>
      <c r="N434" s="49"/>
      <c r="O434" s="49"/>
      <c r="P434" s="49"/>
      <c r="Q434" s="49">
        <f>SUM(N434:P434)</f>
        <v>0</v>
      </c>
      <c r="R434" s="72"/>
      <c r="S434" s="49">
        <f>M434-Q434</f>
        <v>0</v>
      </c>
      <c r="T434" s="49">
        <v>0</v>
      </c>
      <c r="U434" s="49">
        <f>T434+M434</f>
        <v>0</v>
      </c>
      <c r="V434" s="49">
        <f>T434+S434</f>
        <v>0</v>
      </c>
      <c r="W434" s="49"/>
      <c r="X434" s="49"/>
      <c r="Y434" s="49"/>
      <c r="Z434" s="49"/>
      <c r="AA434" s="49">
        <v>10875000</v>
      </c>
      <c r="AB434" s="49">
        <v>10875000</v>
      </c>
      <c r="AC434" s="49">
        <f t="shared" si="102"/>
        <v>0</v>
      </c>
      <c r="AD434" s="49">
        <f>AA434+T434+M434</f>
        <v>10875000</v>
      </c>
      <c r="AE434" s="49"/>
      <c r="AF434" s="49"/>
      <c r="AG434" s="49"/>
      <c r="AH434" s="49"/>
      <c r="AI434" s="49"/>
      <c r="AJ434" s="49">
        <v>10875000</v>
      </c>
      <c r="AK434" s="49">
        <f>Z434+Y434+X434+W434+N434+AG434+AJ434+AI434+AH434</f>
        <v>10875000</v>
      </c>
      <c r="AL434" s="49">
        <f>AK434/AD434*100</f>
        <v>100</v>
      </c>
      <c r="AM434" s="49"/>
      <c r="AN434" s="49"/>
      <c r="AO434" s="49"/>
      <c r="AP434" s="49"/>
      <c r="AQ434" s="49">
        <f>AK434+AM434+AN434+AO434+AP434</f>
        <v>10875000</v>
      </c>
      <c r="AR434" s="49">
        <f>AQ434/AB434*100</f>
        <v>100</v>
      </c>
      <c r="AS434" s="49">
        <f>AB434-AQ434</f>
        <v>0</v>
      </c>
      <c r="AT434" s="49">
        <v>3091500</v>
      </c>
      <c r="AU434" s="49">
        <f>AT434+U434</f>
        <v>3091500</v>
      </c>
      <c r="AV434" s="49">
        <f>AK434</f>
        <v>10875000</v>
      </c>
      <c r="AW434" s="72">
        <f>AV434/AU434*100</f>
        <v>351.77098495875788</v>
      </c>
      <c r="AX434" s="49">
        <f>AU434-AV434</f>
        <v>-7783500</v>
      </c>
      <c r="AY434" s="49">
        <f>AS434/AB434*100</f>
        <v>0</v>
      </c>
      <c r="AZ434" s="73">
        <f t="shared" si="107"/>
        <v>10875000</v>
      </c>
    </row>
    <row r="435" spans="1:52" ht="20.100000000000001" customHeight="1">
      <c r="A435" s="68"/>
      <c r="B435" s="69"/>
      <c r="C435" s="240" t="s">
        <v>621</v>
      </c>
      <c r="D435" s="240"/>
      <c r="E435" s="241"/>
      <c r="F435" s="70"/>
      <c r="G435" s="71"/>
      <c r="H435" s="71"/>
      <c r="I435" s="240" t="s">
        <v>157</v>
      </c>
      <c r="J435" s="240"/>
      <c r="K435" s="241"/>
      <c r="L435" s="49"/>
      <c r="M435" s="49"/>
      <c r="N435" s="49"/>
      <c r="O435" s="49"/>
      <c r="P435" s="49"/>
      <c r="Q435" s="49"/>
      <c r="R435" s="72"/>
      <c r="S435" s="49"/>
      <c r="T435" s="49"/>
      <c r="U435" s="49"/>
      <c r="V435" s="49"/>
      <c r="W435" s="49"/>
      <c r="X435" s="49"/>
      <c r="Y435" s="49"/>
      <c r="Z435" s="49"/>
      <c r="AA435" s="49"/>
      <c r="AB435" s="49"/>
      <c r="AC435" s="49">
        <f t="shared" si="102"/>
        <v>0</v>
      </c>
      <c r="AD435" s="49"/>
      <c r="AE435" s="49"/>
      <c r="AF435" s="49"/>
      <c r="AG435" s="49"/>
      <c r="AH435" s="49"/>
      <c r="AI435" s="49"/>
      <c r="AJ435" s="49"/>
      <c r="AK435" s="49"/>
      <c r="AL435" s="49"/>
      <c r="AM435" s="49"/>
      <c r="AN435" s="49"/>
      <c r="AO435" s="49"/>
      <c r="AP435" s="49"/>
      <c r="AQ435" s="49"/>
      <c r="AR435" s="49"/>
      <c r="AS435" s="49"/>
      <c r="AT435" s="49"/>
      <c r="AU435" s="49"/>
      <c r="AV435" s="49"/>
      <c r="AW435" s="49"/>
      <c r="AX435" s="49"/>
      <c r="AY435" s="49"/>
      <c r="AZ435" s="73">
        <f t="shared" si="107"/>
        <v>0</v>
      </c>
    </row>
    <row r="436" spans="1:52" ht="20.100000000000001" customHeight="1">
      <c r="A436" s="68"/>
      <c r="B436" s="69"/>
      <c r="C436" s="240" t="s">
        <v>622</v>
      </c>
      <c r="D436" s="240"/>
      <c r="E436" s="241"/>
      <c r="F436" s="70"/>
      <c r="G436" s="71"/>
      <c r="H436" s="71"/>
      <c r="I436" s="71"/>
      <c r="J436" s="240" t="s">
        <v>159</v>
      </c>
      <c r="K436" s="241"/>
      <c r="L436" s="49">
        <v>4040000</v>
      </c>
      <c r="M436" s="49">
        <v>0</v>
      </c>
      <c r="N436" s="49"/>
      <c r="O436" s="49"/>
      <c r="P436" s="49"/>
      <c r="Q436" s="49">
        <f>SUM(N436:P436)</f>
        <v>0</v>
      </c>
      <c r="R436" s="72"/>
      <c r="S436" s="49">
        <f>M436-Q436</f>
        <v>0</v>
      </c>
      <c r="T436" s="49">
        <v>0</v>
      </c>
      <c r="U436" s="49">
        <f>T436+M436</f>
        <v>0</v>
      </c>
      <c r="V436" s="49">
        <f>T436+S436</f>
        <v>0</v>
      </c>
      <c r="W436" s="49"/>
      <c r="X436" s="49"/>
      <c r="Y436" s="49"/>
      <c r="Z436" s="49"/>
      <c r="AA436" s="49">
        <v>4040000</v>
      </c>
      <c r="AB436" s="49">
        <v>4040000</v>
      </c>
      <c r="AC436" s="49">
        <f t="shared" ref="AC436:AC499" si="108">AB436-L436</f>
        <v>0</v>
      </c>
      <c r="AD436" s="49">
        <f>AA436+T436+M436</f>
        <v>4040000</v>
      </c>
      <c r="AE436" s="49"/>
      <c r="AF436" s="49"/>
      <c r="AG436" s="49"/>
      <c r="AH436" s="49"/>
      <c r="AI436" s="49"/>
      <c r="AJ436" s="49"/>
      <c r="AK436" s="49">
        <f>Z436+Y436+X436+W436+N436+AG436+AJ436+AI436+AH436</f>
        <v>0</v>
      </c>
      <c r="AL436" s="49">
        <f>AK436/AD436*100</f>
        <v>0</v>
      </c>
      <c r="AM436" s="49"/>
      <c r="AN436" s="42">
        <v>4040000</v>
      </c>
      <c r="AO436" s="49"/>
      <c r="AP436" s="49"/>
      <c r="AQ436" s="49">
        <f>AK436+AM436+AN436+AO436+AP436</f>
        <v>4040000</v>
      </c>
      <c r="AR436" s="49">
        <f>AQ436/AB436*100</f>
        <v>100</v>
      </c>
      <c r="AS436" s="49">
        <f>AB436-AQ436</f>
        <v>0</v>
      </c>
      <c r="AT436" s="49">
        <v>3091500</v>
      </c>
      <c r="AU436" s="49">
        <f>AT436+U436</f>
        <v>3091500</v>
      </c>
      <c r="AV436" s="49">
        <f>AK436</f>
        <v>0</v>
      </c>
      <c r="AW436" s="72">
        <f>AV436/AU436*100</f>
        <v>0</v>
      </c>
      <c r="AX436" s="49">
        <f>AU436-AV436</f>
        <v>3091500</v>
      </c>
      <c r="AY436" s="49">
        <f>AS436/AB436*100</f>
        <v>0</v>
      </c>
      <c r="AZ436" s="73">
        <f t="shared" si="107"/>
        <v>4040000</v>
      </c>
    </row>
    <row r="437" spans="1:52" ht="20.100000000000001" customHeight="1">
      <c r="A437" s="68"/>
      <c r="B437" s="69"/>
      <c r="C437" s="240" t="s">
        <v>623</v>
      </c>
      <c r="D437" s="240"/>
      <c r="E437" s="241"/>
      <c r="F437" s="70"/>
      <c r="G437" s="71"/>
      <c r="H437" s="71"/>
      <c r="I437" s="71"/>
      <c r="J437" s="240" t="s">
        <v>624</v>
      </c>
      <c r="K437" s="241"/>
      <c r="L437" s="49">
        <v>4065000</v>
      </c>
      <c r="M437" s="49">
        <v>0</v>
      </c>
      <c r="N437" s="49"/>
      <c r="O437" s="49"/>
      <c r="P437" s="49"/>
      <c r="Q437" s="49">
        <f>SUM(N437:P437)</f>
        <v>0</v>
      </c>
      <c r="R437" s="72"/>
      <c r="S437" s="49">
        <f>M437-Q437</f>
        <v>0</v>
      </c>
      <c r="T437" s="49">
        <v>0</v>
      </c>
      <c r="U437" s="49">
        <f>T437+M437</f>
        <v>0</v>
      </c>
      <c r="V437" s="49">
        <f>T437+S437</f>
        <v>0</v>
      </c>
      <c r="W437" s="49"/>
      <c r="X437" s="49"/>
      <c r="Y437" s="49"/>
      <c r="Z437" s="49"/>
      <c r="AA437" s="49">
        <v>4065000</v>
      </c>
      <c r="AB437" s="49">
        <v>4065000</v>
      </c>
      <c r="AC437" s="49">
        <f t="shared" si="108"/>
        <v>0</v>
      </c>
      <c r="AD437" s="49">
        <f>AA437+T437+M437</f>
        <v>4065000</v>
      </c>
      <c r="AE437" s="49"/>
      <c r="AF437" s="49"/>
      <c r="AG437" s="49"/>
      <c r="AH437" s="49"/>
      <c r="AI437" s="49"/>
      <c r="AJ437" s="49"/>
      <c r="AK437" s="49">
        <f>Z437+Y437+X437+W437+N437+AG437+AJ437+AI437+AH437</f>
        <v>0</v>
      </c>
      <c r="AL437" s="49">
        <f>AK437/AD437*100</f>
        <v>0</v>
      </c>
      <c r="AM437" s="49"/>
      <c r="AN437" s="42">
        <v>3750000</v>
      </c>
      <c r="AO437" s="49"/>
      <c r="AP437" s="49"/>
      <c r="AQ437" s="49">
        <f>AK437+AM437+AN437+AO437+AP437</f>
        <v>3750000</v>
      </c>
      <c r="AR437" s="49">
        <f>AQ437/AB437*100</f>
        <v>92.250922509225092</v>
      </c>
      <c r="AS437" s="49">
        <f>AB437-AQ437</f>
        <v>315000</v>
      </c>
      <c r="AT437" s="49">
        <v>3091500</v>
      </c>
      <c r="AU437" s="49">
        <f>AT437+U437</f>
        <v>3091500</v>
      </c>
      <c r="AV437" s="49">
        <f>AK437</f>
        <v>0</v>
      </c>
      <c r="AW437" s="72">
        <f>AV437/AU437*100</f>
        <v>0</v>
      </c>
      <c r="AX437" s="49">
        <f>AU437-AV437</f>
        <v>3091500</v>
      </c>
      <c r="AY437" s="49">
        <f>AS437/AB437*100</f>
        <v>7.7490774907749085</v>
      </c>
      <c r="AZ437" s="73">
        <f t="shared" si="107"/>
        <v>3750000</v>
      </c>
    </row>
    <row r="438" spans="1:52" ht="20.100000000000001" customHeight="1">
      <c r="A438" s="68"/>
      <c r="B438" s="69"/>
      <c r="C438" s="240" t="s">
        <v>625</v>
      </c>
      <c r="D438" s="240"/>
      <c r="E438" s="241"/>
      <c r="F438" s="70"/>
      <c r="G438" s="71"/>
      <c r="H438" s="71"/>
      <c r="I438" s="240" t="s">
        <v>402</v>
      </c>
      <c r="J438" s="240"/>
      <c r="K438" s="241"/>
      <c r="L438" s="49"/>
      <c r="M438" s="49"/>
      <c r="N438" s="49"/>
      <c r="O438" s="49"/>
      <c r="P438" s="49"/>
      <c r="Q438" s="49"/>
      <c r="R438" s="72"/>
      <c r="S438" s="49"/>
      <c r="T438" s="49"/>
      <c r="U438" s="49"/>
      <c r="V438" s="49"/>
      <c r="W438" s="49"/>
      <c r="X438" s="49"/>
      <c r="Y438" s="49"/>
      <c r="Z438" s="49"/>
      <c r="AA438" s="49"/>
      <c r="AB438" s="49"/>
      <c r="AC438" s="49">
        <f t="shared" si="108"/>
        <v>0</v>
      </c>
      <c r="AD438" s="49"/>
      <c r="AE438" s="49"/>
      <c r="AF438" s="49"/>
      <c r="AG438" s="49"/>
      <c r="AH438" s="49"/>
      <c r="AI438" s="49"/>
      <c r="AJ438" s="49"/>
      <c r="AK438" s="49"/>
      <c r="AL438" s="49"/>
      <c r="AM438" s="49"/>
      <c r="AN438" s="49"/>
      <c r="AO438" s="49"/>
      <c r="AP438" s="49"/>
      <c r="AQ438" s="49"/>
      <c r="AR438" s="49"/>
      <c r="AS438" s="49"/>
      <c r="AT438" s="49"/>
      <c r="AU438" s="49"/>
      <c r="AV438" s="49"/>
      <c r="AW438" s="49"/>
      <c r="AX438" s="49"/>
      <c r="AY438" s="49"/>
      <c r="AZ438" s="73">
        <f t="shared" si="107"/>
        <v>0</v>
      </c>
    </row>
    <row r="439" spans="1:52" ht="20.100000000000001" customHeight="1">
      <c r="A439" s="68"/>
      <c r="B439" s="69"/>
      <c r="C439" s="240" t="s">
        <v>626</v>
      </c>
      <c r="D439" s="240"/>
      <c r="E439" s="241"/>
      <c r="F439" s="70"/>
      <c r="G439" s="71"/>
      <c r="H439" s="71"/>
      <c r="I439" s="71"/>
      <c r="J439" s="240" t="s">
        <v>404</v>
      </c>
      <c r="K439" s="241"/>
      <c r="L439" s="49">
        <v>16200000</v>
      </c>
      <c r="M439" s="49">
        <v>0</v>
      </c>
      <c r="N439" s="49"/>
      <c r="O439" s="49"/>
      <c r="P439" s="49"/>
      <c r="Q439" s="49">
        <f>SUM(N439:P439)</f>
        <v>0</v>
      </c>
      <c r="R439" s="72"/>
      <c r="S439" s="49">
        <f>M439-Q439</f>
        <v>0</v>
      </c>
      <c r="T439" s="49">
        <v>0</v>
      </c>
      <c r="U439" s="49">
        <f>T439+M439</f>
        <v>0</v>
      </c>
      <c r="V439" s="49">
        <f>T439+S439</f>
        <v>0</v>
      </c>
      <c r="W439" s="49"/>
      <c r="X439" s="49"/>
      <c r="Y439" s="49"/>
      <c r="Z439" s="49"/>
      <c r="AA439" s="49">
        <v>16200000</v>
      </c>
      <c r="AB439" s="49">
        <v>16200000</v>
      </c>
      <c r="AC439" s="49">
        <f t="shared" si="108"/>
        <v>0</v>
      </c>
      <c r="AD439" s="49">
        <f>AA439+T439+M439</f>
        <v>16200000</v>
      </c>
      <c r="AE439" s="49"/>
      <c r="AF439" s="49"/>
      <c r="AG439" s="49"/>
      <c r="AH439" s="49"/>
      <c r="AI439" s="49"/>
      <c r="AJ439" s="49">
        <v>16200000</v>
      </c>
      <c r="AK439" s="49">
        <f>Z439+Y439+X439+W439+N439+AG439+AJ439+AI439+AH439</f>
        <v>16200000</v>
      </c>
      <c r="AL439" s="49">
        <f>AK439/AD439*100</f>
        <v>100</v>
      </c>
      <c r="AM439" s="49"/>
      <c r="AN439" s="49"/>
      <c r="AO439" s="49"/>
      <c r="AP439" s="49"/>
      <c r="AQ439" s="49">
        <f>AK439+AM439+AN439+AO439+AP439</f>
        <v>16200000</v>
      </c>
      <c r="AR439" s="49">
        <f>AQ439/AB439*100</f>
        <v>100</v>
      </c>
      <c r="AS439" s="49">
        <f>AB439-AQ439</f>
        <v>0</v>
      </c>
      <c r="AT439" s="49">
        <v>3091500</v>
      </c>
      <c r="AU439" s="49">
        <f>AT439+U439</f>
        <v>3091500</v>
      </c>
      <c r="AV439" s="49">
        <f>AK439</f>
        <v>16200000</v>
      </c>
      <c r="AW439" s="72">
        <f>AV439/AU439*100</f>
        <v>524.01746724890825</v>
      </c>
      <c r="AX439" s="49">
        <f>AU439-AV439</f>
        <v>-13108500</v>
      </c>
      <c r="AY439" s="49">
        <f>AS439/AB439*100</f>
        <v>0</v>
      </c>
      <c r="AZ439" s="73">
        <f t="shared" si="107"/>
        <v>16200000</v>
      </c>
    </row>
    <row r="440" spans="1:52" ht="20.100000000000001" customHeight="1">
      <c r="A440" s="68"/>
      <c r="B440" s="69"/>
      <c r="C440" s="240" t="s">
        <v>627</v>
      </c>
      <c r="D440" s="240"/>
      <c r="E440" s="241"/>
      <c r="F440" s="70"/>
      <c r="G440" s="71"/>
      <c r="H440" s="240" t="s">
        <v>270</v>
      </c>
      <c r="I440" s="240"/>
      <c r="J440" s="240"/>
      <c r="K440" s="241"/>
      <c r="L440" s="49"/>
      <c r="M440" s="49"/>
      <c r="N440" s="49"/>
      <c r="O440" s="49"/>
      <c r="P440" s="49"/>
      <c r="Q440" s="49"/>
      <c r="R440" s="72"/>
      <c r="S440" s="49"/>
      <c r="T440" s="49"/>
      <c r="U440" s="49"/>
      <c r="V440" s="49"/>
      <c r="W440" s="49"/>
      <c r="X440" s="49"/>
      <c r="Y440" s="49"/>
      <c r="Z440" s="49"/>
      <c r="AA440" s="49"/>
      <c r="AB440" s="49"/>
      <c r="AC440" s="49">
        <f t="shared" si="108"/>
        <v>0</v>
      </c>
      <c r="AD440" s="49"/>
      <c r="AE440" s="49"/>
      <c r="AF440" s="49"/>
      <c r="AG440" s="49"/>
      <c r="AH440" s="49"/>
      <c r="AI440" s="49"/>
      <c r="AJ440" s="49"/>
      <c r="AK440" s="49"/>
      <c r="AL440" s="49"/>
      <c r="AM440" s="49"/>
      <c r="AN440" s="49"/>
      <c r="AO440" s="49"/>
      <c r="AP440" s="49"/>
      <c r="AQ440" s="49"/>
      <c r="AR440" s="49"/>
      <c r="AS440" s="49"/>
      <c r="AT440" s="49"/>
      <c r="AU440" s="49"/>
      <c r="AV440" s="49"/>
      <c r="AW440" s="49"/>
      <c r="AX440" s="49"/>
      <c r="AY440" s="49"/>
      <c r="AZ440" s="73">
        <f t="shared" si="107"/>
        <v>0</v>
      </c>
    </row>
    <row r="441" spans="1:52" ht="20.100000000000001" customHeight="1">
      <c r="A441" s="68"/>
      <c r="B441" s="69"/>
      <c r="C441" s="240" t="s">
        <v>628</v>
      </c>
      <c r="D441" s="240"/>
      <c r="E441" s="241"/>
      <c r="F441" s="70"/>
      <c r="G441" s="71"/>
      <c r="H441" s="71"/>
      <c r="I441" s="240" t="s">
        <v>629</v>
      </c>
      <c r="J441" s="240"/>
      <c r="K441" s="241"/>
      <c r="L441" s="49"/>
      <c r="M441" s="49"/>
      <c r="N441" s="49"/>
      <c r="O441" s="49"/>
      <c r="P441" s="49"/>
      <c r="Q441" s="49"/>
      <c r="R441" s="72"/>
      <c r="S441" s="49"/>
      <c r="T441" s="49"/>
      <c r="U441" s="49"/>
      <c r="V441" s="49"/>
      <c r="W441" s="49"/>
      <c r="X441" s="49"/>
      <c r="Y441" s="49"/>
      <c r="Z441" s="49"/>
      <c r="AA441" s="49"/>
      <c r="AB441" s="49"/>
      <c r="AC441" s="49">
        <f t="shared" si="108"/>
        <v>0</v>
      </c>
      <c r="AD441" s="49"/>
      <c r="AE441" s="49"/>
      <c r="AF441" s="49"/>
      <c r="AG441" s="49"/>
      <c r="AH441" s="49"/>
      <c r="AI441" s="49"/>
      <c r="AJ441" s="49"/>
      <c r="AK441" s="49"/>
      <c r="AL441" s="49"/>
      <c r="AM441" s="49"/>
      <c r="AN441" s="49"/>
      <c r="AO441" s="49"/>
      <c r="AP441" s="49"/>
      <c r="AQ441" s="49"/>
      <c r="AR441" s="49"/>
      <c r="AS441" s="49"/>
      <c r="AT441" s="49"/>
      <c r="AU441" s="49"/>
      <c r="AV441" s="49"/>
      <c r="AW441" s="49"/>
      <c r="AX441" s="49"/>
      <c r="AY441" s="49"/>
      <c r="AZ441" s="73">
        <f t="shared" si="107"/>
        <v>0</v>
      </c>
    </row>
    <row r="442" spans="1:52" ht="20.100000000000001" customHeight="1">
      <c r="A442" s="68"/>
      <c r="B442" s="69"/>
      <c r="C442" s="240" t="s">
        <v>630</v>
      </c>
      <c r="D442" s="240"/>
      <c r="E442" s="241"/>
      <c r="F442" s="70"/>
      <c r="G442" s="71"/>
      <c r="H442" s="71"/>
      <c r="I442" s="71"/>
      <c r="J442" s="240" t="s">
        <v>631</v>
      </c>
      <c r="K442" s="241"/>
      <c r="L442" s="49">
        <v>4560000</v>
      </c>
      <c r="M442" s="49">
        <v>0</v>
      </c>
      <c r="N442" s="49"/>
      <c r="O442" s="49"/>
      <c r="P442" s="49"/>
      <c r="Q442" s="49">
        <f>SUM(N442:P442)</f>
        <v>0</v>
      </c>
      <c r="R442" s="72"/>
      <c r="S442" s="49">
        <f>M442-Q442</f>
        <v>0</v>
      </c>
      <c r="T442" s="49">
        <v>0</v>
      </c>
      <c r="U442" s="49">
        <f>T442+M442</f>
        <v>0</v>
      </c>
      <c r="V442" s="49">
        <f>T442+S442</f>
        <v>0</v>
      </c>
      <c r="W442" s="49"/>
      <c r="X442" s="49"/>
      <c r="Y442" s="49"/>
      <c r="Z442" s="49"/>
      <c r="AA442" s="49">
        <v>4560000</v>
      </c>
      <c r="AB442" s="49">
        <v>4560000</v>
      </c>
      <c r="AC442" s="49">
        <f t="shared" si="108"/>
        <v>0</v>
      </c>
      <c r="AD442" s="49">
        <f>AA442+T442+M442</f>
        <v>4560000</v>
      </c>
      <c r="AE442" s="49"/>
      <c r="AF442" s="49"/>
      <c r="AG442" s="49"/>
      <c r="AH442" s="49"/>
      <c r="AI442" s="49"/>
      <c r="AJ442" s="49">
        <v>3890000</v>
      </c>
      <c r="AK442" s="49">
        <f>Z442+Y442+X442+W442+N442+AG442+AJ442+AI442+AH442</f>
        <v>3890000</v>
      </c>
      <c r="AL442" s="49">
        <f>AK442/AD442*100</f>
        <v>85.307017543859658</v>
      </c>
      <c r="AM442" s="49"/>
      <c r="AN442" s="49"/>
      <c r="AO442" s="49"/>
      <c r="AP442" s="49"/>
      <c r="AQ442" s="49">
        <f>AK442+AM442+AN442+AO442+AP442</f>
        <v>3890000</v>
      </c>
      <c r="AR442" s="49">
        <f>AQ442/AB442*100</f>
        <v>85.307017543859658</v>
      </c>
      <c r="AS442" s="49">
        <f>AB442-AQ442</f>
        <v>670000</v>
      </c>
      <c r="AT442" s="49">
        <v>3091500</v>
      </c>
      <c r="AU442" s="49">
        <f>AT442+U442</f>
        <v>3091500</v>
      </c>
      <c r="AV442" s="49">
        <f>AK442</f>
        <v>3890000</v>
      </c>
      <c r="AW442" s="72">
        <f>AV442/AU442*100</f>
        <v>125.82888565421317</v>
      </c>
      <c r="AX442" s="49">
        <f>AU442-AV442</f>
        <v>-798500</v>
      </c>
      <c r="AY442" s="49">
        <f>AS442/AB442*100</f>
        <v>14.692982456140353</v>
      </c>
      <c r="AZ442" s="73">
        <f t="shared" si="107"/>
        <v>3890000</v>
      </c>
    </row>
    <row r="443" spans="1:52" ht="20.100000000000001" customHeight="1">
      <c r="A443" s="60" t="s">
        <v>632</v>
      </c>
      <c r="B443" s="75"/>
      <c r="C443" s="247" t="s">
        <v>599</v>
      </c>
      <c r="D443" s="247"/>
      <c r="E443" s="248"/>
      <c r="F443" s="249" t="s">
        <v>633</v>
      </c>
      <c r="G443" s="250"/>
      <c r="H443" s="250"/>
      <c r="I443" s="250"/>
      <c r="J443" s="250"/>
      <c r="K443" s="251"/>
      <c r="L443" s="48">
        <f>L444+L457+L473+L487+L504+L529</f>
        <v>244645000</v>
      </c>
      <c r="M443" s="48">
        <f>M444+M457+M473+M487+M504+M529</f>
        <v>52626250</v>
      </c>
      <c r="N443" s="48">
        <f>N444+N457+N473+N487+N504+N529</f>
        <v>42484930</v>
      </c>
      <c r="O443" s="48">
        <f>O444+O457+O473+O487+O504+O529</f>
        <v>0</v>
      </c>
      <c r="P443" s="48">
        <f>P444+P457+P473+P487+P504+P529</f>
        <v>0</v>
      </c>
      <c r="Q443" s="48">
        <f>SUM(N443:P443)</f>
        <v>42484930</v>
      </c>
      <c r="R443" s="61">
        <f t="shared" ref="R443:R456" si="109">Q443/M443*100</f>
        <v>80.729540866012684</v>
      </c>
      <c r="S443" s="48">
        <f>M443-Q443</f>
        <v>10141320</v>
      </c>
      <c r="T443" s="48">
        <f>T444+T457+T473+T487+T504+T529</f>
        <v>86603750</v>
      </c>
      <c r="U443" s="48">
        <f>T443+M443</f>
        <v>139230000</v>
      </c>
      <c r="V443" s="48">
        <f>T443+S443</f>
        <v>96745070</v>
      </c>
      <c r="W443" s="48">
        <f>W444+W457+W473+W487+W504+W529</f>
        <v>65449850</v>
      </c>
      <c r="X443" s="48">
        <f>X444+X457+X473+X487+X504+X529</f>
        <v>0</v>
      </c>
      <c r="Y443" s="48">
        <f>Y444+Y457+Y473+Y487+Y504+Y529</f>
        <v>0</v>
      </c>
      <c r="Z443" s="48"/>
      <c r="AA443" s="48">
        <f>AA444+AA457+AA473+AA487+AA504+AA529</f>
        <v>74150000</v>
      </c>
      <c r="AB443" s="48">
        <f>AB444+AB457+AB473+AB487+AB504+AB529</f>
        <v>202840000</v>
      </c>
      <c r="AC443" s="48">
        <f t="shared" si="108"/>
        <v>-41805000</v>
      </c>
      <c r="AD443" s="48">
        <f>AA443+T443+M443</f>
        <v>213380000</v>
      </c>
      <c r="AE443" s="48">
        <f t="shared" ref="AE443:AK443" si="110">AE444+AE457+AE473+AE487+AE504+AE529</f>
        <v>4830000</v>
      </c>
      <c r="AF443" s="48">
        <f t="shared" si="110"/>
        <v>0</v>
      </c>
      <c r="AG443" s="48">
        <f t="shared" si="110"/>
        <v>34344650</v>
      </c>
      <c r="AH443" s="48">
        <f t="shared" si="110"/>
        <v>0</v>
      </c>
      <c r="AI443" s="48">
        <f t="shared" si="110"/>
        <v>0</v>
      </c>
      <c r="AJ443" s="48">
        <f t="shared" si="110"/>
        <v>27384640</v>
      </c>
      <c r="AK443" s="48">
        <f t="shared" si="110"/>
        <v>174494070</v>
      </c>
      <c r="AL443" s="48">
        <f>AK443/AB443*100</f>
        <v>86.025473279432063</v>
      </c>
      <c r="AM443" s="48">
        <f>AM444+AM457+AM473+AM487+AM504+AM529</f>
        <v>0</v>
      </c>
      <c r="AN443" s="48">
        <f>AN444+AN457+AN473+AN487+AN504+AN529</f>
        <v>0</v>
      </c>
      <c r="AO443" s="48">
        <f>AO444+AO457+AO473+AO487+AO504+AO529</f>
        <v>28090000</v>
      </c>
      <c r="AP443" s="48">
        <f>AP444+AP457+AP473+AP487+AP504+AP529</f>
        <v>0</v>
      </c>
      <c r="AQ443" s="48">
        <f>AK443+AM443+AN443+AO443+AP443</f>
        <v>202584070</v>
      </c>
      <c r="AR443" s="48">
        <f>AQ443/AB443*100</f>
        <v>99.873826661408003</v>
      </c>
      <c r="AS443" s="48">
        <f>AB443-AQ443</f>
        <v>255930</v>
      </c>
      <c r="AT443" s="48">
        <v>120767500</v>
      </c>
      <c r="AU443" s="48">
        <f>AT443+U443</f>
        <v>259997500</v>
      </c>
      <c r="AV443" s="48">
        <f>AK443</f>
        <v>174494070</v>
      </c>
      <c r="AW443" s="61">
        <f>AV443/AU443*100</f>
        <v>67.113749170665102</v>
      </c>
      <c r="AX443" s="48">
        <f>AU443-AV443</f>
        <v>85503430</v>
      </c>
      <c r="AY443" s="48">
        <f>AS443/AB443*100</f>
        <v>0.1261733385919937</v>
      </c>
      <c r="AZ443" s="73">
        <f t="shared" si="107"/>
        <v>174494070</v>
      </c>
    </row>
    <row r="444" spans="1:52" ht="20.100000000000001" customHeight="1">
      <c r="A444" s="62">
        <v>28</v>
      </c>
      <c r="B444" s="63"/>
      <c r="C444" s="242" t="s">
        <v>634</v>
      </c>
      <c r="D444" s="242"/>
      <c r="E444" s="243"/>
      <c r="F444" s="64"/>
      <c r="G444" s="244" t="s">
        <v>635</v>
      </c>
      <c r="H444" s="244"/>
      <c r="I444" s="244"/>
      <c r="J444" s="244"/>
      <c r="K444" s="245"/>
      <c r="L444" s="65">
        <f>SUM(L447:L456)</f>
        <v>41805000</v>
      </c>
      <c r="M444" s="65">
        <f>SUM(M447:M456)</f>
        <v>10126250</v>
      </c>
      <c r="N444" s="65">
        <f>SUM(N447:N456)</f>
        <v>0</v>
      </c>
      <c r="O444" s="65">
        <f>SUM(O447:O456)</f>
        <v>0</v>
      </c>
      <c r="P444" s="65">
        <f>SUM(P447:P456)</f>
        <v>0</v>
      </c>
      <c r="Q444" s="65">
        <f>SUM(N444:P444)</f>
        <v>0</v>
      </c>
      <c r="R444" s="66">
        <f t="shared" si="109"/>
        <v>0</v>
      </c>
      <c r="S444" s="65">
        <f>M444-Q444</f>
        <v>10126250</v>
      </c>
      <c r="T444" s="65">
        <f>SUM(T447:T456)</f>
        <v>11978750</v>
      </c>
      <c r="U444" s="65">
        <f>T444+M444</f>
        <v>22105000</v>
      </c>
      <c r="V444" s="65">
        <f>T444+S444</f>
        <v>22105000</v>
      </c>
      <c r="W444" s="65">
        <f>SUM(W447:W456)</f>
        <v>0</v>
      </c>
      <c r="X444" s="65">
        <f>SUM(X447:X456)</f>
        <v>0</v>
      </c>
      <c r="Y444" s="65">
        <f>SUM(Y447:Y456)</f>
        <v>0</v>
      </c>
      <c r="Z444" s="65"/>
      <c r="AA444" s="65">
        <f>SUM(AA447:AA456)</f>
        <v>15865000</v>
      </c>
      <c r="AB444" s="65">
        <f>SUM(AB447:AB456)</f>
        <v>0</v>
      </c>
      <c r="AC444" s="65">
        <f t="shared" si="108"/>
        <v>-41805000</v>
      </c>
      <c r="AD444" s="65">
        <f>AA444+T444+M444</f>
        <v>37970000</v>
      </c>
      <c r="AE444" s="65">
        <f t="shared" ref="AE444:AK444" si="111">SUM(AE447:AE456)</f>
        <v>0</v>
      </c>
      <c r="AF444" s="65">
        <f t="shared" si="111"/>
        <v>0</v>
      </c>
      <c r="AG444" s="65">
        <f t="shared" si="111"/>
        <v>0</v>
      </c>
      <c r="AH444" s="65">
        <f t="shared" si="111"/>
        <v>0</v>
      </c>
      <c r="AI444" s="65">
        <f t="shared" si="111"/>
        <v>0</v>
      </c>
      <c r="AJ444" s="65">
        <f t="shared" si="111"/>
        <v>0</v>
      </c>
      <c r="AK444" s="65">
        <f t="shared" si="111"/>
        <v>0</v>
      </c>
      <c r="AL444" s="65">
        <v>0</v>
      </c>
      <c r="AM444" s="65">
        <f>SUM(AM447:AM456)</f>
        <v>0</v>
      </c>
      <c r="AN444" s="65">
        <f>SUM(AN447:AN456)</f>
        <v>0</v>
      </c>
      <c r="AO444" s="65">
        <f>SUM(AO447:AO456)</f>
        <v>0</v>
      </c>
      <c r="AP444" s="65">
        <f>SUM(AP447:AP456)</f>
        <v>0</v>
      </c>
      <c r="AQ444" s="65">
        <f>AK444+AM444+AN444+AO444+AP444</f>
        <v>0</v>
      </c>
      <c r="AR444" s="65">
        <v>0</v>
      </c>
      <c r="AS444" s="65">
        <f>AB444-AQ444</f>
        <v>0</v>
      </c>
      <c r="AT444" s="65">
        <f>SUM(AT447:AT453)</f>
        <v>0</v>
      </c>
      <c r="AU444" s="65">
        <f>AT444+U444</f>
        <v>22105000</v>
      </c>
      <c r="AV444" s="65">
        <f>AK444</f>
        <v>0</v>
      </c>
      <c r="AW444" s="66">
        <f>AV444/AU444*100</f>
        <v>0</v>
      </c>
      <c r="AX444" s="65">
        <f>AU444-AV444</f>
        <v>22105000</v>
      </c>
      <c r="AY444" s="65">
        <v>0</v>
      </c>
      <c r="AZ444" s="67">
        <f t="shared" si="107"/>
        <v>0</v>
      </c>
    </row>
    <row r="445" spans="1:52" ht="20.100000000000001" customHeight="1">
      <c r="A445" s="68"/>
      <c r="B445" s="69"/>
      <c r="C445" s="240" t="s">
        <v>636</v>
      </c>
      <c r="D445" s="240"/>
      <c r="E445" s="241"/>
      <c r="F445" s="70"/>
      <c r="G445" s="71"/>
      <c r="H445" s="240" t="s">
        <v>10</v>
      </c>
      <c r="I445" s="240"/>
      <c r="J445" s="240"/>
      <c r="K445" s="241"/>
      <c r="L445" s="49"/>
      <c r="M445" s="49"/>
      <c r="N445" s="49"/>
      <c r="O445" s="49"/>
      <c r="P445" s="49"/>
      <c r="Q445" s="49"/>
      <c r="R445" s="72"/>
      <c r="S445" s="49"/>
      <c r="T445" s="49"/>
      <c r="U445" s="49"/>
      <c r="V445" s="49"/>
      <c r="W445" s="49"/>
      <c r="X445" s="49"/>
      <c r="Y445" s="49"/>
      <c r="Z445" s="49"/>
      <c r="AA445" s="49"/>
      <c r="AB445" s="49"/>
      <c r="AC445" s="49">
        <f t="shared" si="108"/>
        <v>0</v>
      </c>
      <c r="AD445" s="49"/>
      <c r="AE445" s="49"/>
      <c r="AF445" s="49"/>
      <c r="AG445" s="49"/>
      <c r="AH445" s="49"/>
      <c r="AI445" s="49"/>
      <c r="AJ445" s="49"/>
      <c r="AK445" s="49"/>
      <c r="AL445" s="49"/>
      <c r="AM445" s="49"/>
      <c r="AN445" s="49"/>
      <c r="AO445" s="49"/>
      <c r="AP445" s="49"/>
      <c r="AQ445" s="49"/>
      <c r="AR445" s="49"/>
      <c r="AS445" s="49"/>
      <c r="AT445" s="49"/>
      <c r="AU445" s="49"/>
      <c r="AV445" s="49"/>
      <c r="AW445" s="49"/>
      <c r="AX445" s="49"/>
      <c r="AY445" s="49"/>
      <c r="AZ445" s="73">
        <f t="shared" si="107"/>
        <v>0</v>
      </c>
    </row>
    <row r="446" spans="1:52" ht="20.100000000000001" customHeight="1">
      <c r="A446" s="68"/>
      <c r="B446" s="69"/>
      <c r="C446" s="240" t="s">
        <v>637</v>
      </c>
      <c r="D446" s="240"/>
      <c r="E446" s="241"/>
      <c r="F446" s="70"/>
      <c r="G446" s="71"/>
      <c r="H446" s="71"/>
      <c r="I446" s="240" t="s">
        <v>341</v>
      </c>
      <c r="J446" s="240"/>
      <c r="K446" s="241"/>
      <c r="L446" s="49"/>
      <c r="M446" s="49"/>
      <c r="N446" s="49"/>
      <c r="O446" s="49"/>
      <c r="P446" s="49"/>
      <c r="Q446" s="49"/>
      <c r="R446" s="72"/>
      <c r="S446" s="49"/>
      <c r="T446" s="49"/>
      <c r="U446" s="49"/>
      <c r="V446" s="49"/>
      <c r="W446" s="49"/>
      <c r="X446" s="49"/>
      <c r="Y446" s="49"/>
      <c r="Z446" s="49"/>
      <c r="AA446" s="49"/>
      <c r="AB446" s="49"/>
      <c r="AC446" s="49">
        <f t="shared" si="108"/>
        <v>0</v>
      </c>
      <c r="AD446" s="49"/>
      <c r="AE446" s="49"/>
      <c r="AF446" s="49"/>
      <c r="AG446" s="49"/>
      <c r="AH446" s="49"/>
      <c r="AI446" s="49"/>
      <c r="AJ446" s="49"/>
      <c r="AK446" s="49"/>
      <c r="AL446" s="49"/>
      <c r="AM446" s="49"/>
      <c r="AN446" s="49"/>
      <c r="AO446" s="49"/>
      <c r="AP446" s="49"/>
      <c r="AQ446" s="49"/>
      <c r="AR446" s="49"/>
      <c r="AS446" s="49"/>
      <c r="AT446" s="49"/>
      <c r="AU446" s="49"/>
      <c r="AV446" s="49"/>
      <c r="AW446" s="49"/>
      <c r="AX446" s="49"/>
      <c r="AY446" s="49"/>
      <c r="AZ446" s="73">
        <f t="shared" si="107"/>
        <v>0</v>
      </c>
    </row>
    <row r="447" spans="1:52" ht="20.100000000000001" customHeight="1">
      <c r="A447" s="68"/>
      <c r="B447" s="69"/>
      <c r="C447" s="240" t="s">
        <v>638</v>
      </c>
      <c r="D447" s="240"/>
      <c r="E447" s="241"/>
      <c r="F447" s="70"/>
      <c r="G447" s="71"/>
      <c r="H447" s="71"/>
      <c r="I447" s="71"/>
      <c r="J447" s="240" t="s">
        <v>283</v>
      </c>
      <c r="K447" s="241"/>
      <c r="L447" s="49">
        <v>11550000</v>
      </c>
      <c r="M447" s="49">
        <v>3850000</v>
      </c>
      <c r="N447" s="49"/>
      <c r="O447" s="49"/>
      <c r="P447" s="49"/>
      <c r="Q447" s="49">
        <f>SUM(N447:P447)</f>
        <v>0</v>
      </c>
      <c r="R447" s="72">
        <f t="shared" si="109"/>
        <v>0</v>
      </c>
      <c r="S447" s="49">
        <f>M447-Q447</f>
        <v>3850000</v>
      </c>
      <c r="T447" s="49">
        <v>3850000</v>
      </c>
      <c r="U447" s="49">
        <f>T447+M447</f>
        <v>7700000</v>
      </c>
      <c r="V447" s="49">
        <f>T447+S447</f>
        <v>7700000</v>
      </c>
      <c r="W447" s="49"/>
      <c r="X447" s="49"/>
      <c r="Y447" s="49"/>
      <c r="Z447" s="49"/>
      <c r="AA447" s="49">
        <v>3850000</v>
      </c>
      <c r="AB447" s="49">
        <v>0</v>
      </c>
      <c r="AC447" s="49">
        <f t="shared" si="108"/>
        <v>-11550000</v>
      </c>
      <c r="AD447" s="49">
        <f>AA447+T447+M447</f>
        <v>11550000</v>
      </c>
      <c r="AE447" s="49"/>
      <c r="AF447" s="49"/>
      <c r="AG447" s="49"/>
      <c r="AH447" s="49"/>
      <c r="AI447" s="49"/>
      <c r="AJ447" s="49"/>
      <c r="AK447" s="49">
        <f>Z447+Y447+X447+W447+N447+AG447+AJ447+AI447+AH447</f>
        <v>0</v>
      </c>
      <c r="AL447" s="49">
        <f>AK447/AD447*100</f>
        <v>0</v>
      </c>
      <c r="AM447" s="49">
        <v>0</v>
      </c>
      <c r="AN447" s="49">
        <v>0</v>
      </c>
      <c r="AO447" s="49">
        <v>0</v>
      </c>
      <c r="AP447" s="49">
        <v>0</v>
      </c>
      <c r="AQ447" s="49"/>
      <c r="AR447" s="49"/>
      <c r="AS447" s="49"/>
      <c r="AT447" s="49"/>
      <c r="AU447" s="49"/>
      <c r="AV447" s="49"/>
      <c r="AW447" s="49"/>
      <c r="AX447" s="49"/>
      <c r="AY447" s="49"/>
      <c r="AZ447" s="73">
        <f t="shared" si="107"/>
        <v>0</v>
      </c>
    </row>
    <row r="448" spans="1:52" ht="20.100000000000001" customHeight="1">
      <c r="A448" s="68"/>
      <c r="B448" s="69"/>
      <c r="C448" s="240" t="s">
        <v>639</v>
      </c>
      <c r="D448" s="240"/>
      <c r="E448" s="241"/>
      <c r="F448" s="70"/>
      <c r="G448" s="71"/>
      <c r="H448" s="240" t="s">
        <v>143</v>
      </c>
      <c r="I448" s="240"/>
      <c r="J448" s="240"/>
      <c r="K448" s="241"/>
      <c r="L448" s="49"/>
      <c r="M448" s="49"/>
      <c r="N448" s="49"/>
      <c r="O448" s="49"/>
      <c r="P448" s="49"/>
      <c r="Q448" s="49"/>
      <c r="R448" s="72"/>
      <c r="S448" s="49"/>
      <c r="T448" s="49"/>
      <c r="U448" s="49"/>
      <c r="V448" s="49"/>
      <c r="W448" s="49"/>
      <c r="X448" s="49"/>
      <c r="Y448" s="49"/>
      <c r="Z448" s="49"/>
      <c r="AA448" s="49"/>
      <c r="AB448" s="49"/>
      <c r="AC448" s="49">
        <f t="shared" si="108"/>
        <v>0</v>
      </c>
      <c r="AD448" s="49"/>
      <c r="AE448" s="49"/>
      <c r="AF448" s="49"/>
      <c r="AG448" s="49"/>
      <c r="AH448" s="49"/>
      <c r="AI448" s="49"/>
      <c r="AJ448" s="49"/>
      <c r="AK448" s="49"/>
      <c r="AL448" s="49"/>
      <c r="AM448" s="49"/>
      <c r="AN448" s="49"/>
      <c r="AO448" s="49"/>
      <c r="AP448" s="49"/>
      <c r="AQ448" s="49"/>
      <c r="AR448" s="49"/>
      <c r="AS448" s="49"/>
      <c r="AT448" s="49"/>
      <c r="AU448" s="49"/>
      <c r="AV448" s="49"/>
      <c r="AW448" s="49"/>
      <c r="AX448" s="49"/>
      <c r="AY448" s="49"/>
      <c r="AZ448" s="73">
        <f t="shared" si="107"/>
        <v>0</v>
      </c>
    </row>
    <row r="449" spans="1:53" ht="20.100000000000001" customHeight="1">
      <c r="A449" s="68"/>
      <c r="B449" s="69"/>
      <c r="C449" s="240" t="s">
        <v>640</v>
      </c>
      <c r="D449" s="240"/>
      <c r="E449" s="241"/>
      <c r="F449" s="70"/>
      <c r="G449" s="71"/>
      <c r="H449" s="71"/>
      <c r="I449" s="240" t="s">
        <v>145</v>
      </c>
      <c r="J449" s="240"/>
      <c r="K449" s="241"/>
      <c r="L449" s="49"/>
      <c r="M449" s="49"/>
      <c r="N449" s="49"/>
      <c r="O449" s="49"/>
      <c r="P449" s="49"/>
      <c r="Q449" s="49"/>
      <c r="R449" s="72"/>
      <c r="S449" s="49"/>
      <c r="T449" s="49">
        <v>0</v>
      </c>
      <c r="U449" s="49">
        <f>T449+M449</f>
        <v>0</v>
      </c>
      <c r="V449" s="49">
        <f>T449+S449</f>
        <v>0</v>
      </c>
      <c r="W449" s="49"/>
      <c r="X449" s="49"/>
      <c r="Y449" s="49"/>
      <c r="Z449" s="49"/>
      <c r="AA449" s="49"/>
      <c r="AB449" s="49"/>
      <c r="AC449" s="49">
        <f t="shared" si="108"/>
        <v>0</v>
      </c>
      <c r="AD449" s="49"/>
      <c r="AE449" s="49"/>
      <c r="AF449" s="49"/>
      <c r="AG449" s="49"/>
      <c r="AH449" s="49"/>
      <c r="AI449" s="49"/>
      <c r="AJ449" s="49"/>
      <c r="AK449" s="49"/>
      <c r="AL449" s="49"/>
      <c r="AM449" s="49"/>
      <c r="AN449" s="49"/>
      <c r="AO449" s="49"/>
      <c r="AP449" s="49"/>
      <c r="AQ449" s="49"/>
      <c r="AR449" s="49"/>
      <c r="AS449" s="49"/>
      <c r="AT449" s="49"/>
      <c r="AU449" s="49"/>
      <c r="AV449" s="49"/>
      <c r="AW449" s="49"/>
      <c r="AX449" s="49"/>
      <c r="AY449" s="49"/>
      <c r="AZ449" s="73">
        <f t="shared" si="107"/>
        <v>0</v>
      </c>
    </row>
    <row r="450" spans="1:53" ht="20.100000000000001" customHeight="1">
      <c r="A450" s="68"/>
      <c r="B450" s="69"/>
      <c r="C450" s="240" t="s">
        <v>641</v>
      </c>
      <c r="D450" s="240"/>
      <c r="E450" s="241"/>
      <c r="F450" s="70"/>
      <c r="G450" s="71"/>
      <c r="H450" s="71"/>
      <c r="I450" s="71"/>
      <c r="J450" s="240" t="s">
        <v>147</v>
      </c>
      <c r="K450" s="241"/>
      <c r="L450" s="49">
        <v>946250</v>
      </c>
      <c r="M450" s="49">
        <v>946250</v>
      </c>
      <c r="N450" s="49"/>
      <c r="O450" s="49"/>
      <c r="P450" s="49"/>
      <c r="Q450" s="49">
        <f>SUM(N450:P450)</f>
        <v>0</v>
      </c>
      <c r="R450" s="72">
        <f t="shared" si="109"/>
        <v>0</v>
      </c>
      <c r="S450" s="49">
        <f>M450-Q450</f>
        <v>946250</v>
      </c>
      <c r="T450" s="49">
        <v>0</v>
      </c>
      <c r="U450" s="49">
        <f>T450+M450</f>
        <v>946250</v>
      </c>
      <c r="V450" s="49">
        <f>T450+S450</f>
        <v>946250</v>
      </c>
      <c r="W450" s="49"/>
      <c r="X450" s="49"/>
      <c r="Y450" s="49"/>
      <c r="Z450" s="49"/>
      <c r="AA450" s="49">
        <v>0</v>
      </c>
      <c r="AB450" s="49">
        <v>0</v>
      </c>
      <c r="AC450" s="49">
        <f t="shared" si="108"/>
        <v>-946250</v>
      </c>
      <c r="AD450" s="49">
        <f>AA450+T450+M450</f>
        <v>946250</v>
      </c>
      <c r="AE450" s="49"/>
      <c r="AF450" s="49"/>
      <c r="AG450" s="49"/>
      <c r="AH450" s="49"/>
      <c r="AI450" s="49"/>
      <c r="AJ450" s="49"/>
      <c r="AK450" s="49">
        <f>Z450+Y450+X450+W450+N450+AG450+AJ450+AI450+AH450</f>
        <v>0</v>
      </c>
      <c r="AL450" s="49">
        <f>AK450/AD450*100</f>
        <v>0</v>
      </c>
      <c r="AM450" s="49">
        <v>0</v>
      </c>
      <c r="AN450" s="49">
        <v>0</v>
      </c>
      <c r="AO450" s="49">
        <v>0</v>
      </c>
      <c r="AP450" s="49">
        <v>0</v>
      </c>
      <c r="AQ450" s="49"/>
      <c r="AR450" s="49"/>
      <c r="AS450" s="49"/>
      <c r="AT450" s="49"/>
      <c r="AU450" s="49"/>
      <c r="AV450" s="49"/>
      <c r="AW450" s="49"/>
      <c r="AX450" s="49"/>
      <c r="AY450" s="49"/>
      <c r="AZ450" s="73">
        <f t="shared" si="107"/>
        <v>0</v>
      </c>
    </row>
    <row r="451" spans="1:53" ht="20.100000000000001" customHeight="1">
      <c r="A451" s="68"/>
      <c r="B451" s="69"/>
      <c r="C451" s="240" t="s">
        <v>642</v>
      </c>
      <c r="D451" s="240"/>
      <c r="E451" s="241"/>
      <c r="F451" s="70"/>
      <c r="G451" s="71"/>
      <c r="H451" s="71"/>
      <c r="I451" s="240" t="s">
        <v>151</v>
      </c>
      <c r="J451" s="240"/>
      <c r="K451" s="241"/>
      <c r="L451" s="49"/>
      <c r="M451" s="49"/>
      <c r="N451" s="49"/>
      <c r="O451" s="49"/>
      <c r="P451" s="49"/>
      <c r="Q451" s="49"/>
      <c r="R451" s="72"/>
      <c r="S451" s="49"/>
      <c r="T451" s="49"/>
      <c r="U451" s="49"/>
      <c r="V451" s="49"/>
      <c r="W451" s="49"/>
      <c r="X451" s="49"/>
      <c r="Y451" s="49"/>
      <c r="Z451" s="49"/>
      <c r="AA451" s="49"/>
      <c r="AB451" s="49"/>
      <c r="AC451" s="49">
        <f t="shared" si="108"/>
        <v>0</v>
      </c>
      <c r="AD451" s="49"/>
      <c r="AE451" s="49"/>
      <c r="AF451" s="49"/>
      <c r="AG451" s="49"/>
      <c r="AH451" s="49"/>
      <c r="AI451" s="49"/>
      <c r="AJ451" s="49"/>
      <c r="AK451" s="49"/>
      <c r="AL451" s="49"/>
      <c r="AM451" s="49"/>
      <c r="AN451" s="49"/>
      <c r="AO451" s="49"/>
      <c r="AP451" s="49"/>
      <c r="AQ451" s="49"/>
      <c r="AR451" s="49"/>
      <c r="AS451" s="49"/>
      <c r="AT451" s="49"/>
      <c r="AU451" s="49"/>
      <c r="AV451" s="49"/>
      <c r="AW451" s="49"/>
      <c r="AX451" s="49"/>
      <c r="AY451" s="49"/>
      <c r="AZ451" s="73">
        <f t="shared" si="107"/>
        <v>0</v>
      </c>
    </row>
    <row r="452" spans="1:53" ht="20.100000000000001" customHeight="1">
      <c r="A452" s="68"/>
      <c r="B452" s="69"/>
      <c r="C452" s="240" t="s">
        <v>643</v>
      </c>
      <c r="D452" s="240"/>
      <c r="E452" s="241"/>
      <c r="F452" s="70"/>
      <c r="G452" s="71"/>
      <c r="H452" s="71"/>
      <c r="I452" s="71"/>
      <c r="J452" s="240" t="s">
        <v>155</v>
      </c>
      <c r="K452" s="241"/>
      <c r="L452" s="49">
        <v>918750</v>
      </c>
      <c r="M452" s="49">
        <v>450000</v>
      </c>
      <c r="N452" s="49"/>
      <c r="O452" s="49"/>
      <c r="P452" s="49"/>
      <c r="Q452" s="49">
        <f>SUM(N452:P452)</f>
        <v>0</v>
      </c>
      <c r="R452" s="72">
        <f t="shared" si="109"/>
        <v>0</v>
      </c>
      <c r="S452" s="49">
        <f>M452-Q452</f>
        <v>450000</v>
      </c>
      <c r="T452" s="49">
        <v>468750</v>
      </c>
      <c r="U452" s="49">
        <f>T452+M452</f>
        <v>918750</v>
      </c>
      <c r="V452" s="49">
        <f>T452+S452</f>
        <v>918750</v>
      </c>
      <c r="W452" s="49"/>
      <c r="X452" s="49"/>
      <c r="Y452" s="49"/>
      <c r="Z452" s="49"/>
      <c r="AA452" s="49">
        <v>0</v>
      </c>
      <c r="AB452" s="49">
        <v>0</v>
      </c>
      <c r="AC452" s="49">
        <f t="shared" si="108"/>
        <v>-918750</v>
      </c>
      <c r="AD452" s="49">
        <f>AA452+T452+M452</f>
        <v>918750</v>
      </c>
      <c r="AE452" s="49"/>
      <c r="AF452" s="49"/>
      <c r="AG452" s="49"/>
      <c r="AH452" s="49"/>
      <c r="AI452" s="49"/>
      <c r="AJ452" s="49"/>
      <c r="AK452" s="49">
        <f>Z452+Y452+X452+W452+N452+AG452+AJ452+AI452+AH452</f>
        <v>0</v>
      </c>
      <c r="AL452" s="49">
        <f>AK452/AD452*100</f>
        <v>0</v>
      </c>
      <c r="AM452" s="49">
        <v>0</v>
      </c>
      <c r="AN452" s="49">
        <v>0</v>
      </c>
      <c r="AO452" s="49">
        <v>0</v>
      </c>
      <c r="AP452" s="49">
        <v>0</v>
      </c>
      <c r="AQ452" s="49"/>
      <c r="AR452" s="49"/>
      <c r="AS452" s="49"/>
      <c r="AT452" s="49"/>
      <c r="AU452" s="49"/>
      <c r="AV452" s="49"/>
      <c r="AW452" s="49"/>
      <c r="AX452" s="49"/>
      <c r="AY452" s="49"/>
      <c r="AZ452" s="73">
        <f t="shared" si="107"/>
        <v>0</v>
      </c>
    </row>
    <row r="453" spans="1:53" ht="20.100000000000001" customHeight="1">
      <c r="A453" s="68"/>
      <c r="B453" s="69"/>
      <c r="C453" s="240" t="s">
        <v>644</v>
      </c>
      <c r="D453" s="240"/>
      <c r="E453" s="241"/>
      <c r="F453" s="70"/>
      <c r="G453" s="71"/>
      <c r="H453" s="71"/>
      <c r="I453" s="240" t="s">
        <v>193</v>
      </c>
      <c r="J453" s="240"/>
      <c r="K453" s="241"/>
      <c r="L453" s="49"/>
      <c r="M453" s="49"/>
      <c r="N453" s="49"/>
      <c r="O453" s="49"/>
      <c r="P453" s="49"/>
      <c r="Q453" s="49"/>
      <c r="R453" s="72"/>
      <c r="S453" s="49"/>
      <c r="T453" s="49"/>
      <c r="U453" s="49"/>
      <c r="V453" s="49"/>
      <c r="W453" s="49"/>
      <c r="X453" s="49"/>
      <c r="Y453" s="49"/>
      <c r="Z453" s="49"/>
      <c r="AA453" s="49"/>
      <c r="AB453" s="49"/>
      <c r="AC453" s="49">
        <f t="shared" si="108"/>
        <v>0</v>
      </c>
      <c r="AD453" s="49"/>
      <c r="AE453" s="49"/>
      <c r="AF453" s="49"/>
      <c r="AG453" s="49"/>
      <c r="AH453" s="49"/>
      <c r="AI453" s="49"/>
      <c r="AJ453" s="49"/>
      <c r="AK453" s="49"/>
      <c r="AL453" s="49"/>
      <c r="AM453" s="49"/>
      <c r="AN453" s="49"/>
      <c r="AO453" s="49"/>
      <c r="AP453" s="49"/>
      <c r="AQ453" s="49"/>
      <c r="AR453" s="49"/>
      <c r="AS453" s="49"/>
      <c r="AT453" s="49"/>
      <c r="AU453" s="49"/>
      <c r="AV453" s="49"/>
      <c r="AW453" s="49"/>
      <c r="AX453" s="49"/>
      <c r="AY453" s="49"/>
      <c r="AZ453" s="73">
        <f t="shared" si="107"/>
        <v>0</v>
      </c>
    </row>
    <row r="454" spans="1:53" ht="20.100000000000001" customHeight="1">
      <c r="A454" s="68"/>
      <c r="B454" s="69"/>
      <c r="C454" s="240" t="s">
        <v>645</v>
      </c>
      <c r="D454" s="240"/>
      <c r="E454" s="241"/>
      <c r="F454" s="70"/>
      <c r="G454" s="71"/>
      <c r="H454" s="71"/>
      <c r="I454" s="71"/>
      <c r="J454" s="240" t="s">
        <v>195</v>
      </c>
      <c r="K454" s="241"/>
      <c r="L454" s="49">
        <v>10150000</v>
      </c>
      <c r="M454" s="49">
        <v>2275000</v>
      </c>
      <c r="N454" s="49"/>
      <c r="O454" s="49"/>
      <c r="P454" s="49"/>
      <c r="Q454" s="49">
        <f>SUM(N454:P454)</f>
        <v>0</v>
      </c>
      <c r="R454" s="72">
        <f t="shared" si="109"/>
        <v>0</v>
      </c>
      <c r="S454" s="49">
        <f>M454-Q454</f>
        <v>2275000</v>
      </c>
      <c r="T454" s="49">
        <v>2450000</v>
      </c>
      <c r="U454" s="49">
        <f>T454+M454</f>
        <v>4725000</v>
      </c>
      <c r="V454" s="49">
        <f>T454+S454</f>
        <v>4725000</v>
      </c>
      <c r="W454" s="49"/>
      <c r="X454" s="49"/>
      <c r="Y454" s="49"/>
      <c r="Z454" s="49"/>
      <c r="AA454" s="49">
        <v>4200000</v>
      </c>
      <c r="AB454" s="49">
        <v>0</v>
      </c>
      <c r="AC454" s="49">
        <f t="shared" si="108"/>
        <v>-10150000</v>
      </c>
      <c r="AD454" s="49">
        <f>AA454+T454+M454</f>
        <v>8925000</v>
      </c>
      <c r="AE454" s="49"/>
      <c r="AF454" s="49"/>
      <c r="AG454" s="49"/>
      <c r="AH454" s="49"/>
      <c r="AI454" s="49"/>
      <c r="AJ454" s="49"/>
      <c r="AK454" s="49">
        <f>Z454+Y454+X454+W454+N454+AG454+AJ454+AI454+AH454</f>
        <v>0</v>
      </c>
      <c r="AL454" s="49">
        <f>AK454/AD454*100</f>
        <v>0</v>
      </c>
      <c r="AM454" s="49">
        <v>0</v>
      </c>
      <c r="AN454" s="49">
        <v>0</v>
      </c>
      <c r="AO454" s="49">
        <v>0</v>
      </c>
      <c r="AP454" s="49">
        <v>0</v>
      </c>
      <c r="AQ454" s="49"/>
      <c r="AR454" s="49"/>
      <c r="AS454" s="49"/>
      <c r="AT454" s="49"/>
      <c r="AU454" s="49"/>
      <c r="AV454" s="49"/>
      <c r="AW454" s="49"/>
      <c r="AX454" s="49"/>
      <c r="AY454" s="49"/>
      <c r="AZ454" s="73">
        <f t="shared" si="107"/>
        <v>0</v>
      </c>
    </row>
    <row r="455" spans="1:53" ht="20.100000000000001" customHeight="1">
      <c r="A455" s="68"/>
      <c r="B455" s="69"/>
      <c r="C455" s="240" t="s">
        <v>646</v>
      </c>
      <c r="D455" s="240"/>
      <c r="E455" s="241"/>
      <c r="F455" s="70"/>
      <c r="G455" s="71"/>
      <c r="H455" s="71"/>
      <c r="I455" s="240" t="s">
        <v>157</v>
      </c>
      <c r="J455" s="240"/>
      <c r="K455" s="241"/>
      <c r="L455" s="49"/>
      <c r="M455" s="49"/>
      <c r="N455" s="49"/>
      <c r="O455" s="49"/>
      <c r="P455" s="49"/>
      <c r="Q455" s="49"/>
      <c r="R455" s="72"/>
      <c r="S455" s="49"/>
      <c r="T455" s="49"/>
      <c r="U455" s="49"/>
      <c r="V455" s="49"/>
      <c r="W455" s="49"/>
      <c r="X455" s="49"/>
      <c r="Y455" s="49"/>
      <c r="Z455" s="49"/>
      <c r="AA455" s="49"/>
      <c r="AB455" s="49"/>
      <c r="AC455" s="49">
        <f t="shared" si="108"/>
        <v>0</v>
      </c>
      <c r="AD455" s="49"/>
      <c r="AE455" s="49"/>
      <c r="AF455" s="49"/>
      <c r="AG455" s="49"/>
      <c r="AH455" s="49"/>
      <c r="AI455" s="49"/>
      <c r="AJ455" s="49"/>
      <c r="AK455" s="49"/>
      <c r="AL455" s="49"/>
      <c r="AM455" s="49"/>
      <c r="AN455" s="49"/>
      <c r="AO455" s="49"/>
      <c r="AP455" s="49"/>
      <c r="AQ455" s="49"/>
      <c r="AR455" s="49"/>
      <c r="AS455" s="49"/>
      <c r="AT455" s="49"/>
      <c r="AU455" s="49"/>
      <c r="AV455" s="49"/>
      <c r="AW455" s="49"/>
      <c r="AX455" s="49"/>
      <c r="AY455" s="49"/>
      <c r="AZ455" s="73">
        <f t="shared" si="107"/>
        <v>0</v>
      </c>
    </row>
    <row r="456" spans="1:53" ht="20.100000000000001" customHeight="1">
      <c r="A456" s="68"/>
      <c r="B456" s="69"/>
      <c r="C456" s="240" t="s">
        <v>647</v>
      </c>
      <c r="D456" s="240"/>
      <c r="E456" s="241"/>
      <c r="F456" s="70"/>
      <c r="G456" s="71"/>
      <c r="H456" s="71"/>
      <c r="I456" s="71"/>
      <c r="J456" s="240" t="s">
        <v>159</v>
      </c>
      <c r="K456" s="241"/>
      <c r="L456" s="49">
        <v>18240000</v>
      </c>
      <c r="M456" s="49">
        <v>2605000</v>
      </c>
      <c r="N456" s="49"/>
      <c r="O456" s="49"/>
      <c r="P456" s="49"/>
      <c r="Q456" s="49">
        <f>SUM(N456:P456)</f>
        <v>0</v>
      </c>
      <c r="R456" s="72">
        <f t="shared" si="109"/>
        <v>0</v>
      </c>
      <c r="S456" s="49">
        <f>M456-Q456</f>
        <v>2605000</v>
      </c>
      <c r="T456" s="49">
        <v>5210000</v>
      </c>
      <c r="U456" s="49">
        <f>T456+M456</f>
        <v>7815000</v>
      </c>
      <c r="V456" s="49">
        <f>T456+S456</f>
        <v>7815000</v>
      </c>
      <c r="W456" s="49"/>
      <c r="X456" s="49"/>
      <c r="Y456" s="49"/>
      <c r="Z456" s="49"/>
      <c r="AA456" s="49">
        <v>7815000</v>
      </c>
      <c r="AB456" s="49">
        <v>0</v>
      </c>
      <c r="AC456" s="49">
        <f t="shared" si="108"/>
        <v>-18240000</v>
      </c>
      <c r="AD456" s="49">
        <f>AA456+T456+M456</f>
        <v>15630000</v>
      </c>
      <c r="AE456" s="49"/>
      <c r="AF456" s="49"/>
      <c r="AG456" s="49"/>
      <c r="AH456" s="49"/>
      <c r="AI456" s="49"/>
      <c r="AJ456" s="49"/>
      <c r="AK456" s="49">
        <f>Z456+Y456+X456+W456+N456+AG456+AJ456+AI456+AH456</f>
        <v>0</v>
      </c>
      <c r="AL456" s="49">
        <f>AK456/AD456*100</f>
        <v>0</v>
      </c>
      <c r="AM456" s="49">
        <v>0</v>
      </c>
      <c r="AN456" s="49">
        <v>0</v>
      </c>
      <c r="AO456" s="49">
        <v>0</v>
      </c>
      <c r="AP456" s="49">
        <v>0</v>
      </c>
      <c r="AQ456" s="49"/>
      <c r="AR456" s="49"/>
      <c r="AS456" s="49"/>
      <c r="AT456" s="49"/>
      <c r="AU456" s="49"/>
      <c r="AV456" s="49"/>
      <c r="AW456" s="49"/>
      <c r="AX456" s="49"/>
      <c r="AY456" s="49"/>
      <c r="AZ456" s="73">
        <f t="shared" si="107"/>
        <v>0</v>
      </c>
    </row>
    <row r="457" spans="1:53" ht="20.100000000000001" customHeight="1">
      <c r="A457" s="62">
        <v>29</v>
      </c>
      <c r="B457" s="63"/>
      <c r="C457" s="242" t="s">
        <v>648</v>
      </c>
      <c r="D457" s="242"/>
      <c r="E457" s="243"/>
      <c r="F457" s="64"/>
      <c r="G457" s="244" t="s">
        <v>649</v>
      </c>
      <c r="H457" s="244"/>
      <c r="I457" s="244"/>
      <c r="J457" s="244"/>
      <c r="K457" s="245"/>
      <c r="L457" s="65">
        <f>SUM(L460:L472)</f>
        <v>50000000</v>
      </c>
      <c r="M457" s="65">
        <f>SUM(M460:M472)</f>
        <v>0</v>
      </c>
      <c r="N457" s="65">
        <f>SUM(N460:N472)</f>
        <v>0</v>
      </c>
      <c r="O457" s="65">
        <f>SUM(O460:O472)</f>
        <v>0</v>
      </c>
      <c r="P457" s="65">
        <f>SUM(P460:P472)</f>
        <v>0</v>
      </c>
      <c r="Q457" s="65">
        <f>SUM(N457:P457)</f>
        <v>0</v>
      </c>
      <c r="R457" s="66"/>
      <c r="S457" s="65">
        <f>M457-Q457</f>
        <v>0</v>
      </c>
      <c r="T457" s="65">
        <f>SUM(T460:T472)</f>
        <v>0</v>
      </c>
      <c r="U457" s="65">
        <f>T457+M457</f>
        <v>0</v>
      </c>
      <c r="V457" s="65">
        <f>T457+S457</f>
        <v>0</v>
      </c>
      <c r="W457" s="65">
        <f>SUM(W460:W472)</f>
        <v>0</v>
      </c>
      <c r="X457" s="65">
        <f>SUM(X460:X472)</f>
        <v>0</v>
      </c>
      <c r="Y457" s="65">
        <f>SUM(Y460:Y472)</f>
        <v>0</v>
      </c>
      <c r="Z457" s="65"/>
      <c r="AA457" s="65">
        <f>SUM(AA460:AA472)</f>
        <v>28195000</v>
      </c>
      <c r="AB457" s="65">
        <f>SUM(AB460:AB472)</f>
        <v>50000000</v>
      </c>
      <c r="AC457" s="65">
        <f t="shared" si="108"/>
        <v>0</v>
      </c>
      <c r="AD457" s="65">
        <f>AA457+T457+M457</f>
        <v>28195000</v>
      </c>
      <c r="AE457" s="65">
        <f>SUM(AE460:AE472)</f>
        <v>0</v>
      </c>
      <c r="AF457" s="65">
        <f>SUM(AF460:AF472)</f>
        <v>0</v>
      </c>
      <c r="AG457" s="65">
        <f>SUM(AG460:AG472)</f>
        <v>0</v>
      </c>
      <c r="AH457" s="65">
        <f>SUM(AH460:AH472)</f>
        <v>0</v>
      </c>
      <c r="AI457" s="78"/>
      <c r="AJ457" s="65">
        <f>SUM(AJ460:AJ472)</f>
        <v>27384640</v>
      </c>
      <c r="AK457" s="65">
        <f>SUM(AK460:AK472)</f>
        <v>27384640</v>
      </c>
      <c r="AL457" s="65">
        <f>AK457/AB457*100</f>
        <v>54.769279999999995</v>
      </c>
      <c r="AM457" s="65">
        <f>SUM(AM460:AM472)</f>
        <v>0</v>
      </c>
      <c r="AN457" s="65">
        <f>SUM(AN460:AN472)</f>
        <v>0</v>
      </c>
      <c r="AO457" s="42">
        <f>SUM(AO460:AO472)</f>
        <v>22465000</v>
      </c>
      <c r="AP457" s="65">
        <f>SUM(AP460:AP472)</f>
        <v>0</v>
      </c>
      <c r="AQ457" s="65">
        <f>AK457+AM457+AN457+AO457+AP457</f>
        <v>49849640</v>
      </c>
      <c r="AR457" s="65">
        <f>AQ457/AB457*100</f>
        <v>99.699280000000002</v>
      </c>
      <c r="AS457" s="65">
        <f>AB457-AQ457</f>
        <v>150360</v>
      </c>
      <c r="AT457" s="65">
        <f>SUM(AT460:AT466)</f>
        <v>9274500</v>
      </c>
      <c r="AU457" s="65">
        <f>AT457+U457</f>
        <v>9274500</v>
      </c>
      <c r="AV457" s="65">
        <f>AK457</f>
        <v>27384640</v>
      </c>
      <c r="AW457" s="66">
        <f>AV457/AU457*100</f>
        <v>295.26810070623753</v>
      </c>
      <c r="AX457" s="65">
        <f>AU457-AV457</f>
        <v>-18110140</v>
      </c>
      <c r="AY457" s="65">
        <f>AS457/AB457*100</f>
        <v>0.30071999999999999</v>
      </c>
      <c r="AZ457" s="67">
        <f t="shared" si="107"/>
        <v>27384640</v>
      </c>
      <c r="BA457" s="29">
        <f>AS457</f>
        <v>150360</v>
      </c>
    </row>
    <row r="458" spans="1:53" ht="20.100000000000001" customHeight="1">
      <c r="A458" s="68"/>
      <c r="B458" s="69"/>
      <c r="C458" s="240" t="s">
        <v>650</v>
      </c>
      <c r="D458" s="240"/>
      <c r="E458" s="241"/>
      <c r="F458" s="70"/>
      <c r="G458" s="71"/>
      <c r="H458" s="240" t="s">
        <v>10</v>
      </c>
      <c r="I458" s="240"/>
      <c r="J458" s="240"/>
      <c r="K458" s="241"/>
      <c r="L458" s="49"/>
      <c r="M458" s="49"/>
      <c r="N458" s="49"/>
      <c r="O458" s="49"/>
      <c r="P458" s="49"/>
      <c r="Q458" s="49"/>
      <c r="R458" s="72"/>
      <c r="S458" s="49"/>
      <c r="T458" s="49"/>
      <c r="U458" s="49"/>
      <c r="V458" s="49"/>
      <c r="W458" s="49"/>
      <c r="X458" s="49"/>
      <c r="Y458" s="49"/>
      <c r="Z458" s="49"/>
      <c r="AA458" s="49"/>
      <c r="AB458" s="49"/>
      <c r="AC458" s="49">
        <f t="shared" si="108"/>
        <v>0</v>
      </c>
      <c r="AD458" s="49"/>
      <c r="AE458" s="49"/>
      <c r="AF458" s="49"/>
      <c r="AG458" s="49"/>
      <c r="AH458" s="49"/>
      <c r="AI458" s="49"/>
      <c r="AJ458" s="49"/>
      <c r="AK458" s="49"/>
      <c r="AL458" s="49"/>
      <c r="AM458" s="49"/>
      <c r="AN458" s="49"/>
      <c r="AO458" s="49"/>
      <c r="AP458" s="49"/>
      <c r="AQ458" s="49"/>
      <c r="AR458" s="49"/>
      <c r="AS458" s="49"/>
      <c r="AT458" s="49"/>
      <c r="AU458" s="49"/>
      <c r="AV458" s="49"/>
      <c r="AW458" s="49"/>
      <c r="AX458" s="49"/>
      <c r="AY458" s="49"/>
      <c r="AZ458" s="73">
        <f t="shared" si="107"/>
        <v>0</v>
      </c>
    </row>
    <row r="459" spans="1:53" ht="20.100000000000001" customHeight="1">
      <c r="A459" s="68"/>
      <c r="B459" s="69"/>
      <c r="C459" s="240" t="s">
        <v>651</v>
      </c>
      <c r="D459" s="240"/>
      <c r="E459" s="241"/>
      <c r="F459" s="70"/>
      <c r="G459" s="71"/>
      <c r="H459" s="71"/>
      <c r="I459" s="240" t="s">
        <v>177</v>
      </c>
      <c r="J459" s="240"/>
      <c r="K459" s="241"/>
      <c r="L459" s="49"/>
      <c r="M459" s="49"/>
      <c r="N459" s="49"/>
      <c r="O459" s="49"/>
      <c r="P459" s="49"/>
      <c r="Q459" s="49"/>
      <c r="R459" s="72"/>
      <c r="S459" s="49"/>
      <c r="T459" s="49"/>
      <c r="U459" s="49"/>
      <c r="V459" s="49"/>
      <c r="W459" s="49"/>
      <c r="X459" s="49"/>
      <c r="Y459" s="49"/>
      <c r="Z459" s="49"/>
      <c r="AA459" s="49"/>
      <c r="AB459" s="49"/>
      <c r="AC459" s="49">
        <f t="shared" si="108"/>
        <v>0</v>
      </c>
      <c r="AD459" s="49"/>
      <c r="AE459" s="49"/>
      <c r="AF459" s="49"/>
      <c r="AG459" s="49"/>
      <c r="AH459" s="49"/>
      <c r="AI459" s="49"/>
      <c r="AJ459" s="49"/>
      <c r="AK459" s="49"/>
      <c r="AL459" s="49"/>
      <c r="AM459" s="49"/>
      <c r="AN459" s="49"/>
      <c r="AO459" s="49"/>
      <c r="AP459" s="49"/>
      <c r="AQ459" s="49"/>
      <c r="AR459" s="49"/>
      <c r="AS459" s="49"/>
      <c r="AT459" s="49"/>
      <c r="AU459" s="49"/>
      <c r="AV459" s="49"/>
      <c r="AW459" s="49"/>
      <c r="AX459" s="49"/>
      <c r="AY459" s="49"/>
      <c r="AZ459" s="73">
        <f t="shared" si="107"/>
        <v>0</v>
      </c>
    </row>
    <row r="460" spans="1:53" ht="20.100000000000001" customHeight="1">
      <c r="A460" s="68"/>
      <c r="B460" s="69"/>
      <c r="C460" s="240" t="s">
        <v>652</v>
      </c>
      <c r="D460" s="240"/>
      <c r="E460" s="241"/>
      <c r="F460" s="70"/>
      <c r="G460" s="71"/>
      <c r="H460" s="71"/>
      <c r="I460" s="71"/>
      <c r="J460" s="240" t="s">
        <v>283</v>
      </c>
      <c r="K460" s="241"/>
      <c r="L460" s="49">
        <v>13100000</v>
      </c>
      <c r="M460" s="49">
        <v>0</v>
      </c>
      <c r="N460" s="49"/>
      <c r="O460" s="49"/>
      <c r="P460" s="49"/>
      <c r="Q460" s="49">
        <f>SUM(N460:P460)</f>
        <v>0</v>
      </c>
      <c r="R460" s="72"/>
      <c r="S460" s="49">
        <f>M460-Q460</f>
        <v>0</v>
      </c>
      <c r="T460" s="49">
        <v>0</v>
      </c>
      <c r="U460" s="49">
        <f>T460+M460</f>
        <v>0</v>
      </c>
      <c r="V460" s="49">
        <f>T460+S460</f>
        <v>0</v>
      </c>
      <c r="W460" s="49"/>
      <c r="X460" s="49"/>
      <c r="Y460" s="49"/>
      <c r="Z460" s="49"/>
      <c r="AA460" s="49">
        <v>6550000</v>
      </c>
      <c r="AB460" s="49">
        <v>13100000</v>
      </c>
      <c r="AC460" s="49">
        <f t="shared" si="108"/>
        <v>0</v>
      </c>
      <c r="AD460" s="49">
        <f>AA460+T460+M460</f>
        <v>6550000</v>
      </c>
      <c r="AE460" s="49"/>
      <c r="AF460" s="49"/>
      <c r="AG460" s="49"/>
      <c r="AH460" s="49"/>
      <c r="AI460" s="49"/>
      <c r="AJ460" s="49">
        <v>6550000</v>
      </c>
      <c r="AK460" s="49">
        <f>Z460+Y460+X460+W460+N460+AG460+AJ460+AI460+AH460</f>
        <v>6550000</v>
      </c>
      <c r="AL460" s="49">
        <f>AK460/AD460*100</f>
        <v>100</v>
      </c>
      <c r="AM460" s="49"/>
      <c r="AN460" s="49"/>
      <c r="AO460" s="42">
        <v>6550000</v>
      </c>
      <c r="AP460" s="49"/>
      <c r="AQ460" s="49">
        <f>AK460+AM460+AN460+AO460+AP460</f>
        <v>13100000</v>
      </c>
      <c r="AR460" s="49">
        <f>AQ460/AB460*100</f>
        <v>100</v>
      </c>
      <c r="AS460" s="49">
        <f>AB460-AQ460</f>
        <v>0</v>
      </c>
      <c r="AT460" s="49">
        <v>3091500</v>
      </c>
      <c r="AU460" s="49">
        <f>AT460+U460</f>
        <v>3091500</v>
      </c>
      <c r="AV460" s="49">
        <f>AK460</f>
        <v>6550000</v>
      </c>
      <c r="AW460" s="72">
        <f>AV460/AU460*100</f>
        <v>211.87125990619441</v>
      </c>
      <c r="AX460" s="49">
        <f>AU460-AV460</f>
        <v>-3458500</v>
      </c>
      <c r="AY460" s="49">
        <f>AS460/AB460*100</f>
        <v>0</v>
      </c>
      <c r="AZ460" s="73">
        <f t="shared" si="107"/>
        <v>6550000</v>
      </c>
    </row>
    <row r="461" spans="1:53" ht="20.100000000000001" customHeight="1">
      <c r="A461" s="68"/>
      <c r="B461" s="69"/>
      <c r="C461" s="240" t="s">
        <v>653</v>
      </c>
      <c r="D461" s="240"/>
      <c r="E461" s="241"/>
      <c r="F461" s="70"/>
      <c r="G461" s="71"/>
      <c r="H461" s="71"/>
      <c r="I461" s="240" t="s">
        <v>341</v>
      </c>
      <c r="J461" s="240"/>
      <c r="K461" s="241"/>
      <c r="L461" s="49"/>
      <c r="M461" s="49"/>
      <c r="N461" s="49"/>
      <c r="O461" s="49"/>
      <c r="P461" s="49"/>
      <c r="Q461" s="49"/>
      <c r="R461" s="72"/>
      <c r="S461" s="49"/>
      <c r="T461" s="49"/>
      <c r="U461" s="49"/>
      <c r="V461" s="49"/>
      <c r="W461" s="49"/>
      <c r="X461" s="49"/>
      <c r="Y461" s="49"/>
      <c r="Z461" s="49"/>
      <c r="AA461" s="49"/>
      <c r="AB461" s="49"/>
      <c r="AC461" s="49">
        <f t="shared" si="108"/>
        <v>0</v>
      </c>
      <c r="AD461" s="49"/>
      <c r="AE461" s="49"/>
      <c r="AF461" s="49"/>
      <c r="AG461" s="49"/>
      <c r="AH461" s="49"/>
      <c r="AI461" s="49"/>
      <c r="AJ461" s="49"/>
      <c r="AK461" s="49"/>
      <c r="AL461" s="49"/>
      <c r="AM461" s="49"/>
      <c r="AN461" s="49"/>
      <c r="AO461" s="49"/>
      <c r="AP461" s="49"/>
      <c r="AQ461" s="49"/>
      <c r="AR461" s="49"/>
      <c r="AS461" s="49"/>
      <c r="AT461" s="49"/>
      <c r="AU461" s="49"/>
      <c r="AV461" s="49"/>
      <c r="AW461" s="49"/>
      <c r="AX461" s="49"/>
      <c r="AY461" s="49"/>
      <c r="AZ461" s="73">
        <f t="shared" si="107"/>
        <v>0</v>
      </c>
    </row>
    <row r="462" spans="1:53" ht="20.100000000000001" customHeight="1">
      <c r="A462" s="68"/>
      <c r="B462" s="69"/>
      <c r="C462" s="240" t="s">
        <v>654</v>
      </c>
      <c r="D462" s="240"/>
      <c r="E462" s="241"/>
      <c r="F462" s="70"/>
      <c r="G462" s="71"/>
      <c r="H462" s="71"/>
      <c r="I462" s="71"/>
      <c r="J462" s="240" t="s">
        <v>283</v>
      </c>
      <c r="K462" s="241"/>
      <c r="L462" s="49">
        <v>14900000</v>
      </c>
      <c r="M462" s="49">
        <v>0</v>
      </c>
      <c r="N462" s="49"/>
      <c r="O462" s="49"/>
      <c r="P462" s="49"/>
      <c r="Q462" s="49">
        <f>SUM(N462:P462)</f>
        <v>0</v>
      </c>
      <c r="R462" s="72"/>
      <c r="S462" s="49">
        <f>M462-Q462</f>
        <v>0</v>
      </c>
      <c r="T462" s="49">
        <v>0</v>
      </c>
      <c r="U462" s="49">
        <f>T462+M462</f>
        <v>0</v>
      </c>
      <c r="V462" s="49">
        <f>T462+S462</f>
        <v>0</v>
      </c>
      <c r="W462" s="49"/>
      <c r="X462" s="49"/>
      <c r="Y462" s="49"/>
      <c r="Z462" s="49"/>
      <c r="AA462" s="49">
        <v>7450000</v>
      </c>
      <c r="AB462" s="49">
        <v>14900000</v>
      </c>
      <c r="AC462" s="49">
        <f t="shared" si="108"/>
        <v>0</v>
      </c>
      <c r="AD462" s="49">
        <f>AA462+T462+M462</f>
        <v>7450000</v>
      </c>
      <c r="AE462" s="49"/>
      <c r="AF462" s="49"/>
      <c r="AG462" s="49"/>
      <c r="AH462" s="49"/>
      <c r="AI462" s="49"/>
      <c r="AJ462" s="49">
        <v>7450000</v>
      </c>
      <c r="AK462" s="49">
        <f>Z462+Y462+X462+W462+N462+AG462+AJ462+AI462+AH462</f>
        <v>7450000</v>
      </c>
      <c r="AL462" s="49">
        <f>AK462/AD462*100</f>
        <v>100</v>
      </c>
      <c r="AM462" s="49"/>
      <c r="AN462" s="49"/>
      <c r="AO462" s="42">
        <v>7450000</v>
      </c>
      <c r="AP462" s="49"/>
      <c r="AQ462" s="49">
        <f>AK462+AM462+AN462+AO462+AP462</f>
        <v>14900000</v>
      </c>
      <c r="AR462" s="49">
        <f>AQ462/AB462*100</f>
        <v>100</v>
      </c>
      <c r="AS462" s="49">
        <f>AB462-AQ462</f>
        <v>0</v>
      </c>
      <c r="AT462" s="49">
        <v>3091500</v>
      </c>
      <c r="AU462" s="49">
        <f>AT462+U462</f>
        <v>3091500</v>
      </c>
      <c r="AV462" s="49">
        <f>AK462</f>
        <v>7450000</v>
      </c>
      <c r="AW462" s="72">
        <f>AV462/AU462*100</f>
        <v>240.98334142002264</v>
      </c>
      <c r="AX462" s="49">
        <f>AU462-AV462</f>
        <v>-4358500</v>
      </c>
      <c r="AY462" s="49">
        <f>AS462/AB462*100</f>
        <v>0</v>
      </c>
      <c r="AZ462" s="73">
        <f t="shared" si="107"/>
        <v>7450000</v>
      </c>
    </row>
    <row r="463" spans="1:53" ht="20.100000000000001" customHeight="1">
      <c r="A463" s="68"/>
      <c r="B463" s="69"/>
      <c r="C463" s="240" t="s">
        <v>655</v>
      </c>
      <c r="D463" s="240"/>
      <c r="E463" s="241"/>
      <c r="F463" s="70"/>
      <c r="G463" s="71"/>
      <c r="H463" s="240" t="s">
        <v>143</v>
      </c>
      <c r="I463" s="240"/>
      <c r="J463" s="240"/>
      <c r="K463" s="241"/>
      <c r="L463" s="49"/>
      <c r="M463" s="49"/>
      <c r="N463" s="49"/>
      <c r="O463" s="49"/>
      <c r="P463" s="49"/>
      <c r="Q463" s="49"/>
      <c r="R463" s="72"/>
      <c r="S463" s="49"/>
      <c r="T463" s="49"/>
      <c r="U463" s="49"/>
      <c r="V463" s="49"/>
      <c r="W463" s="49"/>
      <c r="X463" s="49"/>
      <c r="Y463" s="49"/>
      <c r="Z463" s="49"/>
      <c r="AA463" s="49"/>
      <c r="AB463" s="49"/>
      <c r="AC463" s="49">
        <f t="shared" si="108"/>
        <v>0</v>
      </c>
      <c r="AD463" s="49"/>
      <c r="AE463" s="49"/>
      <c r="AF463" s="49"/>
      <c r="AG463" s="49"/>
      <c r="AH463" s="49"/>
      <c r="AI463" s="49"/>
      <c r="AJ463" s="49"/>
      <c r="AK463" s="49"/>
      <c r="AL463" s="49"/>
      <c r="AM463" s="49"/>
      <c r="AN463" s="49"/>
      <c r="AO463" s="49"/>
      <c r="AP463" s="49"/>
      <c r="AQ463" s="49"/>
      <c r="AR463" s="49"/>
      <c r="AS463" s="49"/>
      <c r="AT463" s="49"/>
      <c r="AU463" s="49"/>
      <c r="AV463" s="49"/>
      <c r="AW463" s="49"/>
      <c r="AX463" s="49"/>
      <c r="AY463" s="49"/>
      <c r="AZ463" s="73">
        <f t="shared" si="107"/>
        <v>0</v>
      </c>
    </row>
    <row r="464" spans="1:53" ht="20.100000000000001" customHeight="1">
      <c r="A464" s="68"/>
      <c r="B464" s="69"/>
      <c r="C464" s="240" t="s">
        <v>656</v>
      </c>
      <c r="D464" s="240"/>
      <c r="E464" s="241"/>
      <c r="F464" s="70"/>
      <c r="G464" s="71"/>
      <c r="H464" s="71"/>
      <c r="I464" s="240" t="s">
        <v>145</v>
      </c>
      <c r="J464" s="240"/>
      <c r="K464" s="241"/>
      <c r="L464" s="49"/>
      <c r="M464" s="49"/>
      <c r="N464" s="49"/>
      <c r="O464" s="49"/>
      <c r="P464" s="49"/>
      <c r="Q464" s="49"/>
      <c r="R464" s="72"/>
      <c r="S464" s="49"/>
      <c r="T464" s="49"/>
      <c r="U464" s="49"/>
      <c r="V464" s="49"/>
      <c r="W464" s="49"/>
      <c r="X464" s="49"/>
      <c r="Y464" s="49"/>
      <c r="Z464" s="49"/>
      <c r="AA464" s="49"/>
      <c r="AB464" s="49"/>
      <c r="AC464" s="49">
        <f t="shared" si="108"/>
        <v>0</v>
      </c>
      <c r="AD464" s="49"/>
      <c r="AE464" s="49"/>
      <c r="AF464" s="49"/>
      <c r="AG464" s="49"/>
      <c r="AH464" s="49"/>
      <c r="AI464" s="49"/>
      <c r="AJ464" s="49"/>
      <c r="AK464" s="49"/>
      <c r="AL464" s="49"/>
      <c r="AM464" s="49"/>
      <c r="AN464" s="49"/>
      <c r="AO464" s="49"/>
      <c r="AP464" s="49"/>
      <c r="AQ464" s="49"/>
      <c r="AR464" s="49"/>
      <c r="AS464" s="49"/>
      <c r="AT464" s="49"/>
      <c r="AU464" s="49"/>
      <c r="AV464" s="49"/>
      <c r="AW464" s="49"/>
      <c r="AX464" s="49"/>
      <c r="AY464" s="49"/>
      <c r="AZ464" s="73">
        <f t="shared" si="107"/>
        <v>0</v>
      </c>
    </row>
    <row r="465" spans="1:53" ht="20.100000000000001" customHeight="1">
      <c r="A465" s="68"/>
      <c r="B465" s="69"/>
      <c r="C465" s="240" t="s">
        <v>657</v>
      </c>
      <c r="D465" s="240"/>
      <c r="E465" s="241"/>
      <c r="F465" s="70"/>
      <c r="G465" s="71"/>
      <c r="H465" s="71"/>
      <c r="I465" s="71"/>
      <c r="J465" s="240" t="s">
        <v>147</v>
      </c>
      <c r="K465" s="241"/>
      <c r="L465" s="49">
        <v>1010000</v>
      </c>
      <c r="M465" s="49">
        <v>0</v>
      </c>
      <c r="N465" s="49"/>
      <c r="O465" s="49"/>
      <c r="P465" s="49"/>
      <c r="Q465" s="49">
        <f>SUM(N465:P465)</f>
        <v>0</v>
      </c>
      <c r="R465" s="72"/>
      <c r="S465" s="49">
        <f>M465-Q465</f>
        <v>0</v>
      </c>
      <c r="T465" s="49">
        <v>0</v>
      </c>
      <c r="U465" s="49">
        <f>T465+M465</f>
        <v>0</v>
      </c>
      <c r="V465" s="49">
        <f>T465+S465</f>
        <v>0</v>
      </c>
      <c r="W465" s="49"/>
      <c r="X465" s="49"/>
      <c r="Y465" s="49"/>
      <c r="Z465" s="49"/>
      <c r="AA465" s="49">
        <v>1010000</v>
      </c>
      <c r="AB465" s="49">
        <v>1010000</v>
      </c>
      <c r="AC465" s="49">
        <f t="shared" si="108"/>
        <v>0</v>
      </c>
      <c r="AD465" s="49">
        <f>AA465+T465+M465</f>
        <v>1010000</v>
      </c>
      <c r="AE465" s="49"/>
      <c r="AF465" s="49"/>
      <c r="AG465" s="49"/>
      <c r="AH465" s="49"/>
      <c r="AI465" s="49"/>
      <c r="AJ465" s="49">
        <v>1009640</v>
      </c>
      <c r="AK465" s="49">
        <f>Z465+Y465+X465+W465+N465+AG465+AJ465+AI465+AH465</f>
        <v>1009640</v>
      </c>
      <c r="AL465" s="49">
        <f>AK465/AD465*100</f>
        <v>99.964356435643566</v>
      </c>
      <c r="AM465" s="49"/>
      <c r="AN465" s="49"/>
      <c r="AO465" s="49"/>
      <c r="AP465" s="49"/>
      <c r="AQ465" s="49">
        <f>AK465+AM465+AN465+AO465+AP465</f>
        <v>1009640</v>
      </c>
      <c r="AR465" s="49">
        <f>AQ465/AB465*100</f>
        <v>99.964356435643566</v>
      </c>
      <c r="AS465" s="49">
        <f>AB465-AQ465</f>
        <v>360</v>
      </c>
      <c r="AT465" s="49">
        <v>3091500</v>
      </c>
      <c r="AU465" s="49">
        <f>AT465+U465</f>
        <v>3091500</v>
      </c>
      <c r="AV465" s="49">
        <f>AK465</f>
        <v>1009640</v>
      </c>
      <c r="AW465" s="72">
        <f>AV465/AU465*100</f>
        <v>32.65857997735727</v>
      </c>
      <c r="AX465" s="49">
        <f>AU465-AV465</f>
        <v>2081860</v>
      </c>
      <c r="AY465" s="49">
        <f>AS465/AB465*100</f>
        <v>3.5643564356435641E-2</v>
      </c>
      <c r="AZ465" s="73">
        <f t="shared" si="107"/>
        <v>1009640</v>
      </c>
    </row>
    <row r="466" spans="1:53" ht="20.100000000000001" customHeight="1">
      <c r="A466" s="68"/>
      <c r="B466" s="69"/>
      <c r="C466" s="240" t="s">
        <v>658</v>
      </c>
      <c r="D466" s="240"/>
      <c r="E466" s="241"/>
      <c r="F466" s="70"/>
      <c r="G466" s="71"/>
      <c r="H466" s="71"/>
      <c r="I466" s="240" t="s">
        <v>151</v>
      </c>
      <c r="J466" s="240"/>
      <c r="K466" s="241"/>
      <c r="L466" s="49"/>
      <c r="M466" s="49"/>
      <c r="N466" s="49"/>
      <c r="O466" s="49"/>
      <c r="P466" s="49"/>
      <c r="Q466" s="49"/>
      <c r="R466" s="72"/>
      <c r="S466" s="49"/>
      <c r="T466" s="49"/>
      <c r="U466" s="49"/>
      <c r="V466" s="49"/>
      <c r="W466" s="49"/>
      <c r="X466" s="49"/>
      <c r="Y466" s="49"/>
      <c r="Z466" s="49"/>
      <c r="AA466" s="49"/>
      <c r="AB466" s="49"/>
      <c r="AC466" s="49">
        <f t="shared" si="108"/>
        <v>0</v>
      </c>
      <c r="AD466" s="49"/>
      <c r="AE466" s="49"/>
      <c r="AF466" s="49"/>
      <c r="AG466" s="49"/>
      <c r="AH466" s="49"/>
      <c r="AI466" s="49"/>
      <c r="AJ466" s="49"/>
      <c r="AK466" s="49"/>
      <c r="AL466" s="49"/>
      <c r="AM466" s="49"/>
      <c r="AN466" s="49"/>
      <c r="AO466" s="49"/>
      <c r="AP466" s="49"/>
      <c r="AQ466" s="49"/>
      <c r="AR466" s="49"/>
      <c r="AS466" s="49"/>
      <c r="AT466" s="49"/>
      <c r="AU466" s="49"/>
      <c r="AV466" s="49"/>
      <c r="AW466" s="49"/>
      <c r="AX466" s="49"/>
      <c r="AY466" s="49"/>
      <c r="AZ466" s="73">
        <f t="shared" si="107"/>
        <v>0</v>
      </c>
    </row>
    <row r="467" spans="1:53" ht="20.100000000000001" customHeight="1">
      <c r="A467" s="68"/>
      <c r="B467" s="69"/>
      <c r="C467" s="240" t="s">
        <v>659</v>
      </c>
      <c r="D467" s="240"/>
      <c r="E467" s="241"/>
      <c r="F467" s="70"/>
      <c r="G467" s="71"/>
      <c r="H467" s="71"/>
      <c r="I467" s="71"/>
      <c r="J467" s="240" t="s">
        <v>155</v>
      </c>
      <c r="K467" s="241"/>
      <c r="L467" s="49">
        <v>910000</v>
      </c>
      <c r="M467" s="49">
        <v>0</v>
      </c>
      <c r="N467" s="49"/>
      <c r="O467" s="49"/>
      <c r="P467" s="49"/>
      <c r="Q467" s="49">
        <f>SUM(N467:P467)</f>
        <v>0</v>
      </c>
      <c r="R467" s="72"/>
      <c r="S467" s="49">
        <f>M467-Q467</f>
        <v>0</v>
      </c>
      <c r="T467" s="49">
        <v>0</v>
      </c>
      <c r="U467" s="49">
        <f>T467+M467</f>
        <v>0</v>
      </c>
      <c r="V467" s="49">
        <f>T467+S467</f>
        <v>0</v>
      </c>
      <c r="W467" s="49"/>
      <c r="X467" s="49"/>
      <c r="Y467" s="49"/>
      <c r="Z467" s="49"/>
      <c r="AA467" s="49">
        <v>455000</v>
      </c>
      <c r="AB467" s="49">
        <v>910000</v>
      </c>
      <c r="AC467" s="49">
        <f t="shared" si="108"/>
        <v>0</v>
      </c>
      <c r="AD467" s="49">
        <f>AA467+T467+M467</f>
        <v>455000</v>
      </c>
      <c r="AE467" s="49"/>
      <c r="AF467" s="49"/>
      <c r="AG467" s="49"/>
      <c r="AH467" s="49"/>
      <c r="AI467" s="49"/>
      <c r="AJ467" s="49">
        <v>455000</v>
      </c>
      <c r="AK467" s="49">
        <f>Z467+Y467+X467+W467+N467+AG467+AJ467+AI467+AH467</f>
        <v>455000</v>
      </c>
      <c r="AL467" s="49">
        <f>AK467/AD467*100</f>
        <v>100</v>
      </c>
      <c r="AM467" s="49"/>
      <c r="AN467" s="49"/>
      <c r="AO467" s="42">
        <v>455000</v>
      </c>
      <c r="AP467" s="49"/>
      <c r="AQ467" s="49">
        <f>AK467+AM467+AN467+AO467+AP467</f>
        <v>910000</v>
      </c>
      <c r="AR467" s="49">
        <f>AQ467/AB467*100</f>
        <v>100</v>
      </c>
      <c r="AS467" s="49">
        <f>AB467-AQ467</f>
        <v>0</v>
      </c>
      <c r="AT467" s="49">
        <v>3091500</v>
      </c>
      <c r="AU467" s="49">
        <f>AT467+U467</f>
        <v>3091500</v>
      </c>
      <c r="AV467" s="49">
        <f>AK467</f>
        <v>455000</v>
      </c>
      <c r="AW467" s="72">
        <f>AV467/AU467*100</f>
        <v>14.717774543102054</v>
      </c>
      <c r="AX467" s="49">
        <f>AU467-AV467</f>
        <v>2636500</v>
      </c>
      <c r="AY467" s="49">
        <f>AS467/AB467*100</f>
        <v>0</v>
      </c>
      <c r="AZ467" s="73">
        <f t="shared" si="107"/>
        <v>455000</v>
      </c>
    </row>
    <row r="468" spans="1:53" ht="20.100000000000001" customHeight="1">
      <c r="A468" s="68"/>
      <c r="B468" s="69"/>
      <c r="C468" s="240" t="s">
        <v>660</v>
      </c>
      <c r="D468" s="240"/>
      <c r="E468" s="241"/>
      <c r="F468" s="70"/>
      <c r="G468" s="71"/>
      <c r="H468" s="71"/>
      <c r="I468" s="240" t="s">
        <v>193</v>
      </c>
      <c r="J468" s="240"/>
      <c r="K468" s="241"/>
      <c r="L468" s="49"/>
      <c r="M468" s="49"/>
      <c r="N468" s="49"/>
      <c r="O468" s="49"/>
      <c r="P468" s="49"/>
      <c r="Q468" s="49"/>
      <c r="R468" s="72"/>
      <c r="S468" s="49"/>
      <c r="T468" s="49"/>
      <c r="U468" s="49"/>
      <c r="V468" s="49"/>
      <c r="W468" s="49"/>
      <c r="X468" s="49"/>
      <c r="Y468" s="49"/>
      <c r="Z468" s="49"/>
      <c r="AA468" s="49"/>
      <c r="AB468" s="49"/>
      <c r="AC468" s="49">
        <f t="shared" si="108"/>
        <v>0</v>
      </c>
      <c r="AD468" s="49"/>
      <c r="AE468" s="49"/>
      <c r="AF468" s="49"/>
      <c r="AG468" s="49"/>
      <c r="AH468" s="49"/>
      <c r="AI468" s="49"/>
      <c r="AJ468" s="49"/>
      <c r="AK468" s="49"/>
      <c r="AL468" s="49"/>
      <c r="AM468" s="49"/>
      <c r="AN468" s="49"/>
      <c r="AO468" s="49"/>
      <c r="AP468" s="49"/>
      <c r="AQ468" s="49"/>
      <c r="AR468" s="49"/>
      <c r="AS468" s="49"/>
      <c r="AT468" s="49"/>
      <c r="AU468" s="49"/>
      <c r="AV468" s="49"/>
      <c r="AW468" s="49"/>
      <c r="AX468" s="49"/>
      <c r="AY468" s="49"/>
      <c r="AZ468" s="73">
        <f t="shared" si="107"/>
        <v>0</v>
      </c>
    </row>
    <row r="469" spans="1:53" ht="20.100000000000001" customHeight="1">
      <c r="A469" s="68"/>
      <c r="B469" s="69"/>
      <c r="C469" s="240" t="s">
        <v>661</v>
      </c>
      <c r="D469" s="240"/>
      <c r="E469" s="241"/>
      <c r="F469" s="70"/>
      <c r="G469" s="71"/>
      <c r="H469" s="71"/>
      <c r="I469" s="71"/>
      <c r="J469" s="240" t="s">
        <v>312</v>
      </c>
      <c r="K469" s="241"/>
      <c r="L469" s="49">
        <v>5950000</v>
      </c>
      <c r="M469" s="49">
        <v>0</v>
      </c>
      <c r="N469" s="49"/>
      <c r="O469" s="49"/>
      <c r="P469" s="49"/>
      <c r="Q469" s="49">
        <f>SUM(N469:P469)</f>
        <v>0</v>
      </c>
      <c r="R469" s="72"/>
      <c r="S469" s="49">
        <f>M469-Q469</f>
        <v>0</v>
      </c>
      <c r="T469" s="49">
        <v>0</v>
      </c>
      <c r="U469" s="49">
        <f>T469+M469</f>
        <v>0</v>
      </c>
      <c r="V469" s="49">
        <f>T469+S469</f>
        <v>0</v>
      </c>
      <c r="W469" s="49"/>
      <c r="X469" s="49"/>
      <c r="Y469" s="49"/>
      <c r="Z469" s="49"/>
      <c r="AA469" s="49">
        <v>2730000</v>
      </c>
      <c r="AB469" s="49">
        <v>5950000</v>
      </c>
      <c r="AC469" s="49">
        <f t="shared" si="108"/>
        <v>0</v>
      </c>
      <c r="AD469" s="49">
        <f>AA469+T469+M469</f>
        <v>2730000</v>
      </c>
      <c r="AE469" s="49"/>
      <c r="AF469" s="49"/>
      <c r="AG469" s="49"/>
      <c r="AH469" s="49"/>
      <c r="AI469" s="49"/>
      <c r="AJ469" s="49">
        <v>2520000</v>
      </c>
      <c r="AK469" s="49">
        <f>Z469+Y469+X469+W469+N469+AG469+AJ469+AI469+AH469</f>
        <v>2520000</v>
      </c>
      <c r="AL469" s="49">
        <f>AK469/AD469*100</f>
        <v>92.307692307692307</v>
      </c>
      <c r="AM469" s="49"/>
      <c r="AN469" s="49"/>
      <c r="AO469" s="42">
        <v>3430000</v>
      </c>
      <c r="AP469" s="49"/>
      <c r="AQ469" s="49">
        <f>AK469+AM469+AN469+AO469+AP469</f>
        <v>5950000</v>
      </c>
      <c r="AR469" s="49">
        <f>AQ469/AB469*100</f>
        <v>100</v>
      </c>
      <c r="AS469" s="49">
        <f>AB469-AQ469</f>
        <v>0</v>
      </c>
      <c r="AT469" s="49">
        <v>3091500</v>
      </c>
      <c r="AU469" s="49">
        <f>AT469+U469</f>
        <v>3091500</v>
      </c>
      <c r="AV469" s="49">
        <f>AK469</f>
        <v>2520000</v>
      </c>
      <c r="AW469" s="72">
        <f>AV469/AU469*100</f>
        <v>81.513828238719071</v>
      </c>
      <c r="AX469" s="49">
        <f>AU469-AV469</f>
        <v>571500</v>
      </c>
      <c r="AY469" s="49">
        <f>AS469/AB469*100</f>
        <v>0</v>
      </c>
      <c r="AZ469" s="73">
        <f t="shared" si="107"/>
        <v>2520000</v>
      </c>
    </row>
    <row r="470" spans="1:53" ht="20.100000000000001" customHeight="1">
      <c r="A470" s="68"/>
      <c r="B470" s="69"/>
      <c r="C470" s="240" t="s">
        <v>662</v>
      </c>
      <c r="D470" s="240"/>
      <c r="E470" s="241"/>
      <c r="F470" s="70"/>
      <c r="G470" s="71"/>
      <c r="H470" s="71"/>
      <c r="I470" s="240" t="s">
        <v>157</v>
      </c>
      <c r="J470" s="240"/>
      <c r="K470" s="241"/>
      <c r="L470" s="49"/>
      <c r="M470" s="49"/>
      <c r="N470" s="49"/>
      <c r="O470" s="49"/>
      <c r="P470" s="49"/>
      <c r="Q470" s="49"/>
      <c r="R470" s="72"/>
      <c r="S470" s="49"/>
      <c r="T470" s="49"/>
      <c r="U470" s="49"/>
      <c r="V470" s="49"/>
      <c r="W470" s="49"/>
      <c r="X470" s="49"/>
      <c r="Y470" s="49"/>
      <c r="Z470" s="49"/>
      <c r="AA470" s="49"/>
      <c r="AB470" s="49"/>
      <c r="AC470" s="49">
        <f t="shared" si="108"/>
        <v>0</v>
      </c>
      <c r="AD470" s="49"/>
      <c r="AE470" s="49"/>
      <c r="AF470" s="49"/>
      <c r="AG470" s="49"/>
      <c r="AH470" s="49"/>
      <c r="AI470" s="49"/>
      <c r="AJ470" s="49"/>
      <c r="AK470" s="49"/>
      <c r="AL470" s="49"/>
      <c r="AM470" s="49"/>
      <c r="AN470" s="49"/>
      <c r="AO470" s="49"/>
      <c r="AP470" s="49"/>
      <c r="AQ470" s="49"/>
      <c r="AR470" s="49"/>
      <c r="AS470" s="49"/>
      <c r="AT470" s="49"/>
      <c r="AU470" s="49"/>
      <c r="AV470" s="49"/>
      <c r="AW470" s="49"/>
      <c r="AX470" s="49"/>
      <c r="AY470" s="49"/>
      <c r="AZ470" s="73">
        <f t="shared" si="107"/>
        <v>0</v>
      </c>
    </row>
    <row r="471" spans="1:53" ht="20.100000000000001" customHeight="1">
      <c r="A471" s="68"/>
      <c r="B471" s="69"/>
      <c r="C471" s="240" t="s">
        <v>663</v>
      </c>
      <c r="D471" s="240"/>
      <c r="E471" s="241"/>
      <c r="F471" s="70"/>
      <c r="G471" s="71"/>
      <c r="H471" s="71"/>
      <c r="I471" s="71"/>
      <c r="J471" s="240" t="s">
        <v>159</v>
      </c>
      <c r="K471" s="241"/>
      <c r="L471" s="49">
        <v>6050000</v>
      </c>
      <c r="M471" s="49">
        <v>0</v>
      </c>
      <c r="N471" s="49"/>
      <c r="O471" s="49"/>
      <c r="P471" s="49"/>
      <c r="Q471" s="49">
        <f>SUM(N471:P471)</f>
        <v>0</v>
      </c>
      <c r="R471" s="72"/>
      <c r="S471" s="49">
        <f>M471-Q471</f>
        <v>0</v>
      </c>
      <c r="T471" s="49">
        <v>0</v>
      </c>
      <c r="U471" s="49">
        <f>T471+M471</f>
        <v>0</v>
      </c>
      <c r="V471" s="49">
        <f>T471+S471</f>
        <v>0</v>
      </c>
      <c r="W471" s="49"/>
      <c r="X471" s="49"/>
      <c r="Y471" s="49"/>
      <c r="Z471" s="49"/>
      <c r="AA471" s="49">
        <v>4000000</v>
      </c>
      <c r="AB471" s="49">
        <v>6050000</v>
      </c>
      <c r="AC471" s="49">
        <f t="shared" si="108"/>
        <v>0</v>
      </c>
      <c r="AD471" s="49">
        <f>AA471+T471+M471</f>
        <v>4000000</v>
      </c>
      <c r="AE471" s="49"/>
      <c r="AF471" s="49"/>
      <c r="AG471" s="49"/>
      <c r="AH471" s="49"/>
      <c r="AI471" s="49"/>
      <c r="AJ471" s="49">
        <v>4000000</v>
      </c>
      <c r="AK471" s="49">
        <f>Z471+Y471+X471+W471+N471+AG471+AJ471+AI471+AH471</f>
        <v>4000000</v>
      </c>
      <c r="AL471" s="49">
        <f>AK471/AD471*100</f>
        <v>100</v>
      </c>
      <c r="AM471" s="49"/>
      <c r="AN471" s="49"/>
      <c r="AO471" s="42">
        <v>2040000</v>
      </c>
      <c r="AP471" s="49"/>
      <c r="AQ471" s="49">
        <f>AK471+AM471+AN471+AO471+AP471</f>
        <v>6040000</v>
      </c>
      <c r="AR471" s="49">
        <f>AQ471/AB471*100</f>
        <v>99.834710743801651</v>
      </c>
      <c r="AS471" s="49">
        <f>AB471-AQ471</f>
        <v>10000</v>
      </c>
      <c r="AT471" s="49">
        <v>3091500</v>
      </c>
      <c r="AU471" s="49">
        <f>AT471+U471</f>
        <v>3091500</v>
      </c>
      <c r="AV471" s="49">
        <f>AK471</f>
        <v>4000000</v>
      </c>
      <c r="AW471" s="72">
        <f>AV471/AU471*100</f>
        <v>129.38702895034771</v>
      </c>
      <c r="AX471" s="49">
        <f>AU471-AV471</f>
        <v>-908500</v>
      </c>
      <c r="AY471" s="49">
        <f>AS471/AB471*100</f>
        <v>0.16528925619834711</v>
      </c>
      <c r="AZ471" s="73">
        <f t="shared" si="107"/>
        <v>4000000</v>
      </c>
    </row>
    <row r="472" spans="1:53" ht="20.100000000000001" customHeight="1">
      <c r="A472" s="68"/>
      <c r="B472" s="69"/>
      <c r="C472" s="240" t="s">
        <v>664</v>
      </c>
      <c r="D472" s="240"/>
      <c r="E472" s="241"/>
      <c r="F472" s="70"/>
      <c r="G472" s="71"/>
      <c r="H472" s="71"/>
      <c r="I472" s="71"/>
      <c r="J472" s="240" t="s">
        <v>207</v>
      </c>
      <c r="K472" s="241"/>
      <c r="L472" s="49">
        <v>8080000</v>
      </c>
      <c r="M472" s="49">
        <v>0</v>
      </c>
      <c r="N472" s="49"/>
      <c r="O472" s="49"/>
      <c r="P472" s="49"/>
      <c r="Q472" s="49">
        <f>SUM(N472:P472)</f>
        <v>0</v>
      </c>
      <c r="R472" s="72"/>
      <c r="S472" s="49">
        <f>M472-Q472</f>
        <v>0</v>
      </c>
      <c r="T472" s="49">
        <v>0</v>
      </c>
      <c r="U472" s="49">
        <f>T472+M472</f>
        <v>0</v>
      </c>
      <c r="V472" s="49">
        <f>T472+S472</f>
        <v>0</v>
      </c>
      <c r="W472" s="49"/>
      <c r="X472" s="49"/>
      <c r="Y472" s="49"/>
      <c r="Z472" s="49"/>
      <c r="AA472" s="49">
        <v>6000000</v>
      </c>
      <c r="AB472" s="49">
        <v>8080000</v>
      </c>
      <c r="AC472" s="49">
        <f t="shared" si="108"/>
        <v>0</v>
      </c>
      <c r="AD472" s="49">
        <f>AA472+T472+M472</f>
        <v>6000000</v>
      </c>
      <c r="AE472" s="49"/>
      <c r="AF472" s="49"/>
      <c r="AG472" s="49"/>
      <c r="AH472" s="49"/>
      <c r="AI472" s="49"/>
      <c r="AJ472" s="49">
        <v>5400000</v>
      </c>
      <c r="AK472" s="49">
        <f>Z472+Y472+X472+W472+N472+AG472+AJ472+AI472+AH472</f>
        <v>5400000</v>
      </c>
      <c r="AL472" s="49">
        <f>AK472/AD472*100</f>
        <v>90</v>
      </c>
      <c r="AM472" s="49"/>
      <c r="AN472" s="49"/>
      <c r="AO472" s="42">
        <v>2540000</v>
      </c>
      <c r="AP472" s="49"/>
      <c r="AQ472" s="49">
        <f>AK472+AM472+AN472+AO472+AP472</f>
        <v>7940000</v>
      </c>
      <c r="AR472" s="49">
        <f>AQ472/AB472*100</f>
        <v>98.267326732673268</v>
      </c>
      <c r="AS472" s="49">
        <f>AB472-AQ472</f>
        <v>140000</v>
      </c>
      <c r="AT472" s="49">
        <v>3091500</v>
      </c>
      <c r="AU472" s="49">
        <f>AT472+U472</f>
        <v>3091500</v>
      </c>
      <c r="AV472" s="49">
        <f>AK472</f>
        <v>5400000</v>
      </c>
      <c r="AW472" s="72">
        <f>AV472/AU472*100</f>
        <v>174.67248908296943</v>
      </c>
      <c r="AX472" s="49">
        <f>AU472-AV472</f>
        <v>-2308500</v>
      </c>
      <c r="AY472" s="49">
        <f>AS472/AB472*100</f>
        <v>1.7326732673267329</v>
      </c>
      <c r="AZ472" s="73">
        <f t="shared" si="107"/>
        <v>5400000</v>
      </c>
    </row>
    <row r="473" spans="1:53" ht="20.100000000000001" customHeight="1">
      <c r="A473" s="62">
        <v>30</v>
      </c>
      <c r="B473" s="63"/>
      <c r="C473" s="242" t="s">
        <v>665</v>
      </c>
      <c r="D473" s="242"/>
      <c r="E473" s="243"/>
      <c r="F473" s="64"/>
      <c r="G473" s="244" t="s">
        <v>666</v>
      </c>
      <c r="H473" s="244"/>
      <c r="I473" s="244"/>
      <c r="J473" s="244"/>
      <c r="K473" s="245"/>
      <c r="L473" s="65">
        <f>SUM(L476:L486)</f>
        <v>14750000</v>
      </c>
      <c r="M473" s="65">
        <f>SUM(M476:M486)</f>
        <v>0</v>
      </c>
      <c r="N473" s="65">
        <f>SUM(N476:N486)</f>
        <v>0</v>
      </c>
      <c r="O473" s="65">
        <f>SUM(O476:O486)</f>
        <v>0</v>
      </c>
      <c r="P473" s="65">
        <f>SUM(P476:P486)</f>
        <v>0</v>
      </c>
      <c r="Q473" s="65">
        <f>SUM(N473:P473)</f>
        <v>0</v>
      </c>
      <c r="R473" s="66"/>
      <c r="S473" s="65">
        <f>M473-Q473</f>
        <v>0</v>
      </c>
      <c r="T473" s="65">
        <f>SUM(T476:T486)</f>
        <v>9125000</v>
      </c>
      <c r="U473" s="65">
        <f>T473+M473</f>
        <v>9125000</v>
      </c>
      <c r="V473" s="65">
        <f>T473+S473</f>
        <v>9125000</v>
      </c>
      <c r="W473" s="65">
        <f>SUM(W476:W486)</f>
        <v>0</v>
      </c>
      <c r="X473" s="65">
        <f>SUM(X476:X486)</f>
        <v>0</v>
      </c>
      <c r="Y473" s="65">
        <f>SUM(Y476:Y486)</f>
        <v>0</v>
      </c>
      <c r="Z473" s="65"/>
      <c r="AA473" s="65">
        <f>SUM(AA476:AA486)</f>
        <v>0</v>
      </c>
      <c r="AB473" s="65">
        <f>SUM(AB476:AB486)</f>
        <v>14750000</v>
      </c>
      <c r="AC473" s="65">
        <f t="shared" si="108"/>
        <v>0</v>
      </c>
      <c r="AD473" s="65">
        <f>AA473+T473+M473</f>
        <v>9125000</v>
      </c>
      <c r="AE473" s="65">
        <f t="shared" ref="AE473:AK473" si="112">SUM(AE476:AE486)</f>
        <v>4830000</v>
      </c>
      <c r="AF473" s="65">
        <f t="shared" si="112"/>
        <v>0</v>
      </c>
      <c r="AG473" s="65">
        <f t="shared" si="112"/>
        <v>4264900</v>
      </c>
      <c r="AH473" s="65">
        <f t="shared" si="112"/>
        <v>0</v>
      </c>
      <c r="AI473" s="65">
        <f t="shared" si="112"/>
        <v>0</v>
      </c>
      <c r="AJ473" s="65">
        <f t="shared" si="112"/>
        <v>0</v>
      </c>
      <c r="AK473" s="65">
        <f t="shared" si="112"/>
        <v>9094900</v>
      </c>
      <c r="AL473" s="65">
        <f>AK473/AB473*100</f>
        <v>61.660338983050842</v>
      </c>
      <c r="AM473" s="65">
        <f>SUM(AM476:AM486)</f>
        <v>0</v>
      </c>
      <c r="AN473" s="65">
        <f>SUM(AN476:AN486)</f>
        <v>0</v>
      </c>
      <c r="AO473" s="42">
        <f>SUM(AO476:AO486)</f>
        <v>5625000</v>
      </c>
      <c r="AP473" s="65">
        <f>SUM(AP476:AP486)</f>
        <v>0</v>
      </c>
      <c r="AQ473" s="65">
        <f>AK473+AM473+AN473+AO473+AP473</f>
        <v>14719900</v>
      </c>
      <c r="AR473" s="65">
        <f>AQ473/AB473*100</f>
        <v>99.795932203389825</v>
      </c>
      <c r="AS473" s="65">
        <f>AB473-AQ473</f>
        <v>30100</v>
      </c>
      <c r="AT473" s="65">
        <f>SUM(AT476:AT482)</f>
        <v>9274500</v>
      </c>
      <c r="AU473" s="65">
        <f>AT473+U473</f>
        <v>18399500</v>
      </c>
      <c r="AV473" s="65">
        <f>AK473</f>
        <v>9094900</v>
      </c>
      <c r="AW473" s="66">
        <f>AV473/AU473*100</f>
        <v>49.430147558357561</v>
      </c>
      <c r="AX473" s="65">
        <f>AU473-AV473</f>
        <v>9304600</v>
      </c>
      <c r="AY473" s="65">
        <f>AS473/AB473*100</f>
        <v>0.20406779661016949</v>
      </c>
      <c r="AZ473" s="67">
        <f t="shared" si="107"/>
        <v>9094900</v>
      </c>
      <c r="BA473" s="29">
        <f>AS473</f>
        <v>30100</v>
      </c>
    </row>
    <row r="474" spans="1:53" ht="20.100000000000001" customHeight="1">
      <c r="A474" s="68"/>
      <c r="B474" s="69"/>
      <c r="C474" s="240" t="s">
        <v>667</v>
      </c>
      <c r="D474" s="240"/>
      <c r="E474" s="241"/>
      <c r="F474" s="70"/>
      <c r="G474" s="71"/>
      <c r="H474" s="240" t="s">
        <v>10</v>
      </c>
      <c r="I474" s="240"/>
      <c r="J474" s="240"/>
      <c r="K474" s="241"/>
      <c r="L474" s="49"/>
      <c r="M474" s="49"/>
      <c r="N474" s="49"/>
      <c r="O474" s="49"/>
      <c r="P474" s="49"/>
      <c r="Q474" s="49"/>
      <c r="R474" s="72"/>
      <c r="S474" s="49"/>
      <c r="T474" s="49"/>
      <c r="U474" s="49"/>
      <c r="V474" s="49"/>
      <c r="W474" s="49"/>
      <c r="X474" s="49"/>
      <c r="Y474" s="49"/>
      <c r="Z474" s="49"/>
      <c r="AA474" s="49"/>
      <c r="AB474" s="49"/>
      <c r="AC474" s="49">
        <f t="shared" si="108"/>
        <v>0</v>
      </c>
      <c r="AD474" s="49"/>
      <c r="AE474" s="49"/>
      <c r="AF474" s="49"/>
      <c r="AG474" s="49"/>
      <c r="AH474" s="49"/>
      <c r="AI474" s="49"/>
      <c r="AJ474" s="49"/>
      <c r="AK474" s="49"/>
      <c r="AL474" s="49"/>
      <c r="AM474" s="49"/>
      <c r="AN474" s="49"/>
      <c r="AO474" s="49"/>
      <c r="AP474" s="49"/>
      <c r="AQ474" s="49"/>
      <c r="AR474" s="49"/>
      <c r="AS474" s="49"/>
      <c r="AT474" s="49"/>
      <c r="AU474" s="49"/>
      <c r="AV474" s="49"/>
      <c r="AW474" s="49"/>
      <c r="AX474" s="49"/>
      <c r="AY474" s="49"/>
      <c r="AZ474" s="73">
        <f t="shared" si="107"/>
        <v>0</v>
      </c>
    </row>
    <row r="475" spans="1:53" ht="20.100000000000001" customHeight="1">
      <c r="A475" s="68"/>
      <c r="B475" s="69"/>
      <c r="C475" s="240" t="s">
        <v>668</v>
      </c>
      <c r="D475" s="240"/>
      <c r="E475" s="241"/>
      <c r="F475" s="70"/>
      <c r="G475" s="71"/>
      <c r="H475" s="71"/>
      <c r="I475" s="240" t="s">
        <v>177</v>
      </c>
      <c r="J475" s="240"/>
      <c r="K475" s="241"/>
      <c r="L475" s="49"/>
      <c r="M475" s="49"/>
      <c r="N475" s="49"/>
      <c r="O475" s="49"/>
      <c r="P475" s="49"/>
      <c r="Q475" s="49"/>
      <c r="R475" s="72"/>
      <c r="S475" s="49"/>
      <c r="T475" s="49"/>
      <c r="U475" s="49"/>
      <c r="V475" s="49"/>
      <c r="W475" s="49"/>
      <c r="X475" s="49"/>
      <c r="Y475" s="49"/>
      <c r="Z475" s="49"/>
      <c r="AA475" s="49"/>
      <c r="AB475" s="49"/>
      <c r="AC475" s="49">
        <f t="shared" si="108"/>
        <v>0</v>
      </c>
      <c r="AD475" s="49"/>
      <c r="AE475" s="49"/>
      <c r="AF475" s="49"/>
      <c r="AG475" s="49"/>
      <c r="AH475" s="49"/>
      <c r="AI475" s="49"/>
      <c r="AJ475" s="49"/>
      <c r="AK475" s="49"/>
      <c r="AL475" s="49"/>
      <c r="AM475" s="49"/>
      <c r="AN475" s="49"/>
      <c r="AO475" s="49"/>
      <c r="AP475" s="49"/>
      <c r="AQ475" s="49"/>
      <c r="AR475" s="49"/>
      <c r="AS475" s="49"/>
      <c r="AT475" s="49"/>
      <c r="AU475" s="49"/>
      <c r="AV475" s="49"/>
      <c r="AW475" s="49"/>
      <c r="AX475" s="49"/>
      <c r="AY475" s="49"/>
      <c r="AZ475" s="73">
        <f t="shared" si="107"/>
        <v>0</v>
      </c>
    </row>
    <row r="476" spans="1:53" ht="20.100000000000001" customHeight="1">
      <c r="A476" s="68"/>
      <c r="B476" s="69"/>
      <c r="C476" s="240" t="s">
        <v>669</v>
      </c>
      <c r="D476" s="240"/>
      <c r="E476" s="241"/>
      <c r="F476" s="70"/>
      <c r="G476" s="71"/>
      <c r="H476" s="71"/>
      <c r="I476" s="71"/>
      <c r="J476" s="240" t="s">
        <v>283</v>
      </c>
      <c r="K476" s="241"/>
      <c r="L476" s="49">
        <v>5450000</v>
      </c>
      <c r="M476" s="49">
        <v>0</v>
      </c>
      <c r="N476" s="49"/>
      <c r="O476" s="49"/>
      <c r="P476" s="49"/>
      <c r="Q476" s="49">
        <f>SUM(N476:P476)</f>
        <v>0</v>
      </c>
      <c r="R476" s="72"/>
      <c r="S476" s="49">
        <f>M476-Q476</f>
        <v>0</v>
      </c>
      <c r="T476" s="49">
        <v>2725000</v>
      </c>
      <c r="U476" s="49">
        <f>T476+M476</f>
        <v>2725000</v>
      </c>
      <c r="V476" s="49">
        <f>T476+S476</f>
        <v>2725000</v>
      </c>
      <c r="W476" s="49"/>
      <c r="X476" s="49"/>
      <c r="Y476" s="49"/>
      <c r="Z476" s="49"/>
      <c r="AA476" s="49">
        <v>0</v>
      </c>
      <c r="AB476" s="49">
        <v>5450000</v>
      </c>
      <c r="AC476" s="49">
        <f t="shared" si="108"/>
        <v>0</v>
      </c>
      <c r="AD476" s="49">
        <f>AA476+T476+M476</f>
        <v>2725000</v>
      </c>
      <c r="AE476" s="49"/>
      <c r="AF476" s="49"/>
      <c r="AG476" s="49">
        <f>2725000</f>
        <v>2725000</v>
      </c>
      <c r="AH476" s="49"/>
      <c r="AI476" s="49"/>
      <c r="AJ476" s="49"/>
      <c r="AK476" s="49">
        <f>Z476+Y476+X476+W476+N476+AG476+AJ476+AI476+AH476</f>
        <v>2725000</v>
      </c>
      <c r="AL476" s="49">
        <f>AK476/AD476*100</f>
        <v>100</v>
      </c>
      <c r="AM476" s="49"/>
      <c r="AN476" s="49"/>
      <c r="AO476" s="42">
        <v>2725000</v>
      </c>
      <c r="AP476" s="49"/>
      <c r="AQ476" s="49">
        <f>AK476+AM476+AN476+AO476+AP476</f>
        <v>5450000</v>
      </c>
      <c r="AR476" s="49">
        <f>AQ476/AB476*100</f>
        <v>100</v>
      </c>
      <c r="AS476" s="49">
        <f>AB476-AQ476</f>
        <v>0</v>
      </c>
      <c r="AT476" s="49">
        <v>3091500</v>
      </c>
      <c r="AU476" s="49">
        <f>AT476+U476</f>
        <v>5816500</v>
      </c>
      <c r="AV476" s="49">
        <f>AK476</f>
        <v>2725000</v>
      </c>
      <c r="AW476" s="72">
        <f>AV476/AU476*100</f>
        <v>46.849479927791627</v>
      </c>
      <c r="AX476" s="49">
        <f>AU476-AV476</f>
        <v>3091500</v>
      </c>
      <c r="AY476" s="49">
        <f>AS476/AB476*100</f>
        <v>0</v>
      </c>
      <c r="AZ476" s="73">
        <f t="shared" si="107"/>
        <v>2725000</v>
      </c>
    </row>
    <row r="477" spans="1:53" ht="20.100000000000001" customHeight="1">
      <c r="A477" s="68"/>
      <c r="B477" s="69"/>
      <c r="C477" s="240" t="s">
        <v>670</v>
      </c>
      <c r="D477" s="240"/>
      <c r="E477" s="241"/>
      <c r="F477" s="70"/>
      <c r="G477" s="71"/>
      <c r="H477" s="240" t="s">
        <v>143</v>
      </c>
      <c r="I477" s="240"/>
      <c r="J477" s="240"/>
      <c r="K477" s="241"/>
      <c r="L477" s="49"/>
      <c r="M477" s="49"/>
      <c r="N477" s="49"/>
      <c r="O477" s="49"/>
      <c r="P477" s="49"/>
      <c r="Q477" s="49"/>
      <c r="R477" s="72"/>
      <c r="S477" s="49"/>
      <c r="T477" s="49"/>
      <c r="U477" s="49"/>
      <c r="V477" s="49"/>
      <c r="W477" s="49"/>
      <c r="X477" s="49"/>
      <c r="Y477" s="49"/>
      <c r="Z477" s="49"/>
      <c r="AA477" s="49"/>
      <c r="AB477" s="49"/>
      <c r="AC477" s="49">
        <f t="shared" si="108"/>
        <v>0</v>
      </c>
      <c r="AD477" s="49"/>
      <c r="AE477" s="49"/>
      <c r="AF477" s="49"/>
      <c r="AG477" s="49"/>
      <c r="AH477" s="49"/>
      <c r="AI477" s="49"/>
      <c r="AJ477" s="49"/>
      <c r="AK477" s="49"/>
      <c r="AL477" s="49"/>
      <c r="AM477" s="49"/>
      <c r="AN477" s="49"/>
      <c r="AO477" s="49"/>
      <c r="AP477" s="49"/>
      <c r="AQ477" s="49"/>
      <c r="AR477" s="49"/>
      <c r="AS477" s="49"/>
      <c r="AT477" s="49"/>
      <c r="AU477" s="49"/>
      <c r="AV477" s="49"/>
      <c r="AW477" s="49"/>
      <c r="AX477" s="49"/>
      <c r="AY477" s="49"/>
      <c r="AZ477" s="73">
        <f t="shared" si="107"/>
        <v>0</v>
      </c>
    </row>
    <row r="478" spans="1:53" ht="20.100000000000001" customHeight="1">
      <c r="A478" s="68"/>
      <c r="B478" s="69"/>
      <c r="C478" s="240" t="s">
        <v>671</v>
      </c>
      <c r="D478" s="240"/>
      <c r="E478" s="241"/>
      <c r="F478" s="70"/>
      <c r="G478" s="71"/>
      <c r="H478" s="71"/>
      <c r="I478" s="240" t="s">
        <v>145</v>
      </c>
      <c r="J478" s="240"/>
      <c r="K478" s="241"/>
      <c r="L478" s="49"/>
      <c r="M478" s="49"/>
      <c r="N478" s="49"/>
      <c r="O478" s="49"/>
      <c r="P478" s="49"/>
      <c r="Q478" s="49"/>
      <c r="R478" s="72"/>
      <c r="S478" s="49"/>
      <c r="T478" s="49"/>
      <c r="U478" s="49"/>
      <c r="V478" s="49"/>
      <c r="W478" s="49"/>
      <c r="X478" s="49"/>
      <c r="Y478" s="49"/>
      <c r="Z478" s="49"/>
      <c r="AA478" s="49"/>
      <c r="AB478" s="49"/>
      <c r="AC478" s="49">
        <f t="shared" si="108"/>
        <v>0</v>
      </c>
      <c r="AD478" s="49"/>
      <c r="AE478" s="49"/>
      <c r="AF478" s="49"/>
      <c r="AG478" s="49"/>
      <c r="AH478" s="49"/>
      <c r="AI478" s="49"/>
      <c r="AJ478" s="49"/>
      <c r="AK478" s="49"/>
      <c r="AL478" s="49"/>
      <c r="AM478" s="49"/>
      <c r="AN478" s="49"/>
      <c r="AO478" s="49"/>
      <c r="AP478" s="49"/>
      <c r="AQ478" s="49"/>
      <c r="AR478" s="49"/>
      <c r="AS478" s="49"/>
      <c r="AT478" s="49"/>
      <c r="AU478" s="49"/>
      <c r="AV478" s="49"/>
      <c r="AW478" s="49"/>
      <c r="AX478" s="49"/>
      <c r="AY478" s="49"/>
      <c r="AZ478" s="73">
        <f t="shared" si="107"/>
        <v>0</v>
      </c>
    </row>
    <row r="479" spans="1:53" ht="20.100000000000001" customHeight="1">
      <c r="A479" s="68"/>
      <c r="B479" s="69"/>
      <c r="C479" s="240" t="s">
        <v>672</v>
      </c>
      <c r="D479" s="240"/>
      <c r="E479" s="241"/>
      <c r="F479" s="70"/>
      <c r="G479" s="71"/>
      <c r="H479" s="71"/>
      <c r="I479" s="71"/>
      <c r="J479" s="240" t="s">
        <v>147</v>
      </c>
      <c r="K479" s="241"/>
      <c r="L479" s="49">
        <v>490000</v>
      </c>
      <c r="M479" s="49">
        <v>0</v>
      </c>
      <c r="N479" s="49"/>
      <c r="O479" s="49"/>
      <c r="P479" s="49"/>
      <c r="Q479" s="49">
        <f>SUM(N479:P479)</f>
        <v>0</v>
      </c>
      <c r="R479" s="72"/>
      <c r="S479" s="49">
        <f>M479-Q479</f>
        <v>0</v>
      </c>
      <c r="T479" s="49">
        <v>490000</v>
      </c>
      <c r="U479" s="49">
        <f>T479+M479</f>
        <v>490000</v>
      </c>
      <c r="V479" s="49">
        <f>T479+S479</f>
        <v>490000</v>
      </c>
      <c r="W479" s="49"/>
      <c r="X479" s="49"/>
      <c r="Y479" s="49"/>
      <c r="Z479" s="49"/>
      <c r="AA479" s="49">
        <v>0</v>
      </c>
      <c r="AB479" s="49">
        <v>490000</v>
      </c>
      <c r="AC479" s="49">
        <f t="shared" si="108"/>
        <v>0</v>
      </c>
      <c r="AD479" s="49">
        <f>AA479+T479+M479</f>
        <v>490000</v>
      </c>
      <c r="AE479" s="49"/>
      <c r="AF479" s="49"/>
      <c r="AG479" s="49">
        <v>489900</v>
      </c>
      <c r="AH479" s="49"/>
      <c r="AI479" s="49"/>
      <c r="AJ479" s="49"/>
      <c r="AK479" s="49">
        <f>Z479+Y479+X479+W479+N479+AG479+AJ479+AI479+AH479</f>
        <v>489900</v>
      </c>
      <c r="AL479" s="49">
        <f>AK479/AD479*100</f>
        <v>99.979591836734699</v>
      </c>
      <c r="AM479" s="49"/>
      <c r="AN479" s="49"/>
      <c r="AO479" s="49"/>
      <c r="AP479" s="49"/>
      <c r="AQ479" s="49">
        <f>AK479+AM479+AN479+AO479+AP479</f>
        <v>489900</v>
      </c>
      <c r="AR479" s="49">
        <f>AQ479/AB479*100</f>
        <v>99.979591836734699</v>
      </c>
      <c r="AS479" s="49">
        <f>AB479-AQ479</f>
        <v>100</v>
      </c>
      <c r="AT479" s="49">
        <v>3091500</v>
      </c>
      <c r="AU479" s="49">
        <f>AT479+U479</f>
        <v>3581500</v>
      </c>
      <c r="AV479" s="49">
        <f>AK479</f>
        <v>489900</v>
      </c>
      <c r="AW479" s="72">
        <f>AV479/AU479*100</f>
        <v>13.678626273907579</v>
      </c>
      <c r="AX479" s="49">
        <f>AU479-AV479</f>
        <v>3091600</v>
      </c>
      <c r="AY479" s="49">
        <f>AS479/AB479*100</f>
        <v>2.0408163265306124E-2</v>
      </c>
      <c r="AZ479" s="73">
        <f t="shared" si="107"/>
        <v>489900</v>
      </c>
    </row>
    <row r="480" spans="1:53" ht="20.100000000000001" customHeight="1">
      <c r="A480" s="68"/>
      <c r="B480" s="69"/>
      <c r="C480" s="240" t="s">
        <v>673</v>
      </c>
      <c r="D480" s="240"/>
      <c r="E480" s="241"/>
      <c r="F480" s="70"/>
      <c r="G480" s="71"/>
      <c r="H480" s="71"/>
      <c r="I480" s="240" t="s">
        <v>151</v>
      </c>
      <c r="J480" s="240"/>
      <c r="K480" s="241"/>
      <c r="L480" s="49"/>
      <c r="M480" s="49"/>
      <c r="N480" s="49"/>
      <c r="O480" s="49"/>
      <c r="P480" s="49"/>
      <c r="Q480" s="49"/>
      <c r="R480" s="72"/>
      <c r="S480" s="49"/>
      <c r="T480" s="49"/>
      <c r="U480" s="49"/>
      <c r="V480" s="49"/>
      <c r="W480" s="49"/>
      <c r="X480" s="49"/>
      <c r="Y480" s="49"/>
      <c r="Z480" s="49"/>
      <c r="AA480" s="49"/>
      <c r="AB480" s="49"/>
      <c r="AC480" s="49">
        <f t="shared" si="108"/>
        <v>0</v>
      </c>
      <c r="AD480" s="49"/>
      <c r="AE480" s="49"/>
      <c r="AF480" s="49"/>
      <c r="AG480" s="49"/>
      <c r="AH480" s="49"/>
      <c r="AI480" s="49"/>
      <c r="AJ480" s="49"/>
      <c r="AK480" s="49"/>
      <c r="AL480" s="49"/>
      <c r="AM480" s="49"/>
      <c r="AN480" s="49"/>
      <c r="AO480" s="49"/>
      <c r="AP480" s="49"/>
      <c r="AQ480" s="49"/>
      <c r="AR480" s="49"/>
      <c r="AS480" s="49"/>
      <c r="AT480" s="49"/>
      <c r="AU480" s="49"/>
      <c r="AV480" s="49"/>
      <c r="AW480" s="49"/>
      <c r="AX480" s="49"/>
      <c r="AY480" s="49"/>
      <c r="AZ480" s="73">
        <f t="shared" si="107"/>
        <v>0</v>
      </c>
    </row>
    <row r="481" spans="1:53" ht="20.100000000000001" customHeight="1">
      <c r="A481" s="68"/>
      <c r="B481" s="69"/>
      <c r="C481" s="240" t="s">
        <v>674</v>
      </c>
      <c r="D481" s="240"/>
      <c r="E481" s="241"/>
      <c r="F481" s="70"/>
      <c r="G481" s="71"/>
      <c r="H481" s="71"/>
      <c r="I481" s="71"/>
      <c r="J481" s="240" t="s">
        <v>155</v>
      </c>
      <c r="K481" s="241"/>
      <c r="L481" s="49">
        <v>700000</v>
      </c>
      <c r="M481" s="49">
        <v>0</v>
      </c>
      <c r="N481" s="49"/>
      <c r="O481" s="49"/>
      <c r="P481" s="49"/>
      <c r="Q481" s="49">
        <f>SUM(N481:P481)</f>
        <v>0</v>
      </c>
      <c r="R481" s="72"/>
      <c r="S481" s="49">
        <f>M481-Q481</f>
        <v>0</v>
      </c>
      <c r="T481" s="49">
        <v>350000</v>
      </c>
      <c r="U481" s="49">
        <f>T481+M481</f>
        <v>350000</v>
      </c>
      <c r="V481" s="49">
        <f>T481+S481</f>
        <v>350000</v>
      </c>
      <c r="W481" s="49"/>
      <c r="X481" s="49"/>
      <c r="Y481" s="49"/>
      <c r="Z481" s="49"/>
      <c r="AA481" s="49">
        <v>0</v>
      </c>
      <c r="AB481" s="49">
        <v>700000</v>
      </c>
      <c r="AC481" s="49">
        <f t="shared" si="108"/>
        <v>0</v>
      </c>
      <c r="AD481" s="49">
        <f>AA481+T481+M481</f>
        <v>350000</v>
      </c>
      <c r="AE481" s="49"/>
      <c r="AF481" s="49"/>
      <c r="AG481" s="49">
        <v>350000</v>
      </c>
      <c r="AH481" s="49"/>
      <c r="AI481" s="49"/>
      <c r="AJ481" s="49"/>
      <c r="AK481" s="49">
        <f>Z481+Y481+X481+W481+N481+AG481+AJ481+AI481+AH481</f>
        <v>350000</v>
      </c>
      <c r="AL481" s="49">
        <f>AK481/AD481*100</f>
        <v>100</v>
      </c>
      <c r="AM481" s="49"/>
      <c r="AN481" s="49"/>
      <c r="AO481" s="42">
        <v>350000</v>
      </c>
      <c r="AP481" s="49"/>
      <c r="AQ481" s="49">
        <f>AK481+AM481+AN481+AO481+AP481</f>
        <v>700000</v>
      </c>
      <c r="AR481" s="49">
        <f>AQ481/AB481*100</f>
        <v>100</v>
      </c>
      <c r="AS481" s="49">
        <f>AB481-AQ481</f>
        <v>0</v>
      </c>
      <c r="AT481" s="49">
        <v>3091500</v>
      </c>
      <c r="AU481" s="49">
        <f>AT481+U481</f>
        <v>3441500</v>
      </c>
      <c r="AV481" s="49">
        <f>AK481</f>
        <v>350000</v>
      </c>
      <c r="AW481" s="72">
        <f>AV481/AU481*100</f>
        <v>10.169984018596542</v>
      </c>
      <c r="AX481" s="49">
        <f>AU481-AV481</f>
        <v>3091500</v>
      </c>
      <c r="AY481" s="49">
        <f>AS481/AB481*100</f>
        <v>0</v>
      </c>
      <c r="AZ481" s="73">
        <f t="shared" si="107"/>
        <v>350000</v>
      </c>
    </row>
    <row r="482" spans="1:53" ht="20.100000000000001" customHeight="1">
      <c r="A482" s="68"/>
      <c r="B482" s="69"/>
      <c r="C482" s="240" t="s">
        <v>675</v>
      </c>
      <c r="D482" s="240"/>
      <c r="E482" s="241"/>
      <c r="F482" s="70"/>
      <c r="G482" s="71"/>
      <c r="H482" s="71"/>
      <c r="I482" s="240" t="s">
        <v>193</v>
      </c>
      <c r="J482" s="240"/>
      <c r="K482" s="241"/>
      <c r="L482" s="49"/>
      <c r="M482" s="49"/>
      <c r="N482" s="49"/>
      <c r="O482" s="49"/>
      <c r="P482" s="49"/>
      <c r="Q482" s="49"/>
      <c r="R482" s="72"/>
      <c r="S482" s="49"/>
      <c r="T482" s="49"/>
      <c r="U482" s="49"/>
      <c r="V482" s="49"/>
      <c r="W482" s="49"/>
      <c r="X482" s="49"/>
      <c r="Y482" s="49"/>
      <c r="Z482" s="49"/>
      <c r="AA482" s="49"/>
      <c r="AB482" s="49"/>
      <c r="AC482" s="49">
        <f t="shared" si="108"/>
        <v>0</v>
      </c>
      <c r="AD482" s="49"/>
      <c r="AE482" s="49"/>
      <c r="AF482" s="49"/>
      <c r="AG482" s="49"/>
      <c r="AH482" s="49"/>
      <c r="AI482" s="49"/>
      <c r="AJ482" s="49"/>
      <c r="AK482" s="49"/>
      <c r="AL482" s="49"/>
      <c r="AM482" s="49"/>
      <c r="AN482" s="49"/>
      <c r="AO482" s="49"/>
      <c r="AP482" s="49"/>
      <c r="AQ482" s="49"/>
      <c r="AR482" s="49"/>
      <c r="AS482" s="49"/>
      <c r="AT482" s="49"/>
      <c r="AU482" s="49"/>
      <c r="AV482" s="49"/>
      <c r="AW482" s="49"/>
      <c r="AX482" s="49"/>
      <c r="AY482" s="49"/>
      <c r="AZ482" s="73">
        <f t="shared" si="107"/>
        <v>0</v>
      </c>
    </row>
    <row r="483" spans="1:53" ht="20.100000000000001" customHeight="1">
      <c r="A483" s="68"/>
      <c r="B483" s="69"/>
      <c r="C483" s="240" t="s">
        <v>676</v>
      </c>
      <c r="D483" s="240"/>
      <c r="E483" s="241"/>
      <c r="F483" s="70"/>
      <c r="G483" s="71"/>
      <c r="H483" s="71"/>
      <c r="I483" s="71"/>
      <c r="J483" s="240" t="s">
        <v>195</v>
      </c>
      <c r="K483" s="241"/>
      <c r="L483" s="49">
        <v>1050000</v>
      </c>
      <c r="M483" s="49">
        <v>0</v>
      </c>
      <c r="N483" s="49"/>
      <c r="O483" s="49"/>
      <c r="P483" s="49"/>
      <c r="Q483" s="49">
        <f>SUM(N483:P483)</f>
        <v>0</v>
      </c>
      <c r="R483" s="72"/>
      <c r="S483" s="49">
        <f>M483-Q483</f>
        <v>0</v>
      </c>
      <c r="T483" s="49">
        <v>700000</v>
      </c>
      <c r="U483" s="49">
        <f>T483+M483</f>
        <v>700000</v>
      </c>
      <c r="V483" s="49">
        <f>T483+S483</f>
        <v>700000</v>
      </c>
      <c r="W483" s="49"/>
      <c r="X483" s="49"/>
      <c r="Y483" s="49"/>
      <c r="Z483" s="49"/>
      <c r="AA483" s="49">
        <v>0</v>
      </c>
      <c r="AB483" s="49">
        <v>1050000</v>
      </c>
      <c r="AC483" s="49">
        <f t="shared" si="108"/>
        <v>0</v>
      </c>
      <c r="AD483" s="49">
        <f>AA483+T483+M483</f>
        <v>700000</v>
      </c>
      <c r="AE483" s="49"/>
      <c r="AF483" s="49"/>
      <c r="AG483" s="49">
        <v>700000</v>
      </c>
      <c r="AH483" s="49"/>
      <c r="AI483" s="49"/>
      <c r="AJ483" s="49"/>
      <c r="AK483" s="49">
        <f>Z483+Y483+X483+W483+N483+AG483+AJ483+AI483+AH483</f>
        <v>700000</v>
      </c>
      <c r="AL483" s="49">
        <f>AK483/AD483*100</f>
        <v>100</v>
      </c>
      <c r="AM483" s="49"/>
      <c r="AN483" s="49"/>
      <c r="AO483" s="42">
        <v>350000</v>
      </c>
      <c r="AP483" s="49"/>
      <c r="AQ483" s="49">
        <f>AK483+AM483+AN483+AO483+AP483</f>
        <v>1050000</v>
      </c>
      <c r="AR483" s="49">
        <f>AQ483/AB483*100</f>
        <v>100</v>
      </c>
      <c r="AS483" s="49">
        <f t="shared" ref="AS483:AS545" si="113">AB483-AQ483</f>
        <v>0</v>
      </c>
      <c r="AT483" s="49">
        <v>3091500</v>
      </c>
      <c r="AU483" s="49">
        <f>AT483+U483</f>
        <v>3791500</v>
      </c>
      <c r="AV483" s="49">
        <f>AK483</f>
        <v>700000</v>
      </c>
      <c r="AW483" s="72">
        <f>AV483/AU483*100</f>
        <v>18.462349993406306</v>
      </c>
      <c r="AX483" s="49">
        <f>AU483-AV483</f>
        <v>3091500</v>
      </c>
      <c r="AY483" s="49">
        <f t="shared" ref="AY483:AY544" si="114">AS483/AB483*100</f>
        <v>0</v>
      </c>
      <c r="AZ483" s="73">
        <f t="shared" si="107"/>
        <v>700000</v>
      </c>
    </row>
    <row r="484" spans="1:53" ht="20.100000000000001" customHeight="1">
      <c r="A484" s="68"/>
      <c r="B484" s="69"/>
      <c r="C484" s="240" t="s">
        <v>677</v>
      </c>
      <c r="D484" s="240"/>
      <c r="E484" s="241"/>
      <c r="F484" s="70"/>
      <c r="G484" s="71"/>
      <c r="H484" s="71"/>
      <c r="I484" s="240" t="s">
        <v>157</v>
      </c>
      <c r="J484" s="240"/>
      <c r="K484" s="241"/>
      <c r="L484" s="49"/>
      <c r="M484" s="49"/>
      <c r="N484" s="49"/>
      <c r="O484" s="49"/>
      <c r="P484" s="49"/>
      <c r="Q484" s="49"/>
      <c r="R484" s="72"/>
      <c r="S484" s="49"/>
      <c r="T484" s="49"/>
      <c r="U484" s="49"/>
      <c r="V484" s="49"/>
      <c r="W484" s="49"/>
      <c r="X484" s="49"/>
      <c r="Y484" s="49"/>
      <c r="Z484" s="49"/>
      <c r="AA484" s="49"/>
      <c r="AB484" s="49"/>
      <c r="AC484" s="49">
        <f t="shared" si="108"/>
        <v>0</v>
      </c>
      <c r="AD484" s="49"/>
      <c r="AE484" s="49"/>
      <c r="AF484" s="49"/>
      <c r="AG484" s="49"/>
      <c r="AH484" s="49"/>
      <c r="AI484" s="49"/>
      <c r="AJ484" s="49"/>
      <c r="AK484" s="49"/>
      <c r="AL484" s="49"/>
      <c r="AM484" s="49"/>
      <c r="AN484" s="49"/>
      <c r="AO484" s="49"/>
      <c r="AP484" s="49"/>
      <c r="AQ484" s="49"/>
      <c r="AR484" s="49"/>
      <c r="AS484" s="49"/>
      <c r="AT484" s="49"/>
      <c r="AU484" s="49"/>
      <c r="AV484" s="49"/>
      <c r="AW484" s="49"/>
      <c r="AX484" s="49"/>
      <c r="AY484" s="49"/>
      <c r="AZ484" s="73">
        <f t="shared" ref="AZ484:AZ547" si="115">AQ484-AO484</f>
        <v>0</v>
      </c>
    </row>
    <row r="485" spans="1:53" ht="20.100000000000001" customHeight="1">
      <c r="A485" s="68"/>
      <c r="B485" s="69"/>
      <c r="C485" s="240" t="s">
        <v>678</v>
      </c>
      <c r="D485" s="240"/>
      <c r="E485" s="241"/>
      <c r="F485" s="70"/>
      <c r="G485" s="71"/>
      <c r="H485" s="71"/>
      <c r="I485" s="71"/>
      <c r="J485" s="240" t="s">
        <v>159</v>
      </c>
      <c r="K485" s="241"/>
      <c r="L485" s="49">
        <v>4400000</v>
      </c>
      <c r="M485" s="49">
        <v>0</v>
      </c>
      <c r="N485" s="49"/>
      <c r="O485" s="49"/>
      <c r="P485" s="49"/>
      <c r="Q485" s="49">
        <f>SUM(N485:P485)</f>
        <v>0</v>
      </c>
      <c r="R485" s="72"/>
      <c r="S485" s="49">
        <f>M485-Q485</f>
        <v>0</v>
      </c>
      <c r="T485" s="49">
        <v>2200000</v>
      </c>
      <c r="U485" s="49">
        <f>T485+M485</f>
        <v>2200000</v>
      </c>
      <c r="V485" s="49">
        <f>T485+S485</f>
        <v>2200000</v>
      </c>
      <c r="W485" s="49"/>
      <c r="X485" s="49"/>
      <c r="Y485" s="49"/>
      <c r="Z485" s="49"/>
      <c r="AA485" s="49">
        <v>0</v>
      </c>
      <c r="AB485" s="49">
        <v>4400000</v>
      </c>
      <c r="AC485" s="49">
        <f t="shared" si="108"/>
        <v>0</v>
      </c>
      <c r="AD485" s="49">
        <f>AA485+T485+M485</f>
        <v>2200000</v>
      </c>
      <c r="AE485" s="49">
        <v>2200000</v>
      </c>
      <c r="AF485" s="49">
        <v>0</v>
      </c>
      <c r="AG485" s="49">
        <v>0</v>
      </c>
      <c r="AH485" s="49"/>
      <c r="AI485" s="49"/>
      <c r="AJ485" s="49"/>
      <c r="AK485" s="49">
        <f>Z485+Y485+X485+W485+N485+AG485+AE485+AJ485+AI485+AH485</f>
        <v>2200000</v>
      </c>
      <c r="AL485" s="49">
        <f>AK485/AD485*100</f>
        <v>100</v>
      </c>
      <c r="AM485" s="49"/>
      <c r="AN485" s="49"/>
      <c r="AO485" s="42">
        <v>2200000</v>
      </c>
      <c r="AP485" s="49"/>
      <c r="AQ485" s="49">
        <f>AK485+AM485+AN485+AO485+AP485</f>
        <v>4400000</v>
      </c>
      <c r="AR485" s="49">
        <f>AQ485/AB485*100</f>
        <v>100</v>
      </c>
      <c r="AS485" s="49">
        <f t="shared" si="113"/>
        <v>0</v>
      </c>
      <c r="AT485" s="49">
        <v>3091500</v>
      </c>
      <c r="AU485" s="49">
        <f>AT485+U485</f>
        <v>5291500</v>
      </c>
      <c r="AV485" s="49">
        <f>AK485</f>
        <v>2200000</v>
      </c>
      <c r="AW485" s="72">
        <f>AV485/AU485*100</f>
        <v>41.576112633468767</v>
      </c>
      <c r="AX485" s="49">
        <f>AU485-AV485</f>
        <v>3091500</v>
      </c>
      <c r="AY485" s="49">
        <f t="shared" si="114"/>
        <v>0</v>
      </c>
      <c r="AZ485" s="73">
        <f t="shared" si="115"/>
        <v>2200000</v>
      </c>
    </row>
    <row r="486" spans="1:53" ht="20.100000000000001" customHeight="1">
      <c r="A486" s="68"/>
      <c r="B486" s="69"/>
      <c r="C486" s="240" t="s">
        <v>679</v>
      </c>
      <c r="D486" s="240"/>
      <c r="E486" s="241"/>
      <c r="F486" s="70"/>
      <c r="G486" s="71"/>
      <c r="H486" s="71"/>
      <c r="I486" s="71"/>
      <c r="J486" s="240" t="s">
        <v>207</v>
      </c>
      <c r="K486" s="241"/>
      <c r="L486" s="49">
        <v>2660000</v>
      </c>
      <c r="M486" s="49">
        <v>0</v>
      </c>
      <c r="N486" s="49"/>
      <c r="O486" s="49"/>
      <c r="P486" s="49"/>
      <c r="Q486" s="49">
        <f>SUM(N486:P486)</f>
        <v>0</v>
      </c>
      <c r="R486" s="72"/>
      <c r="S486" s="49">
        <f>M486-Q486</f>
        <v>0</v>
      </c>
      <c r="T486" s="49">
        <v>2660000</v>
      </c>
      <c r="U486" s="49">
        <f>T486+M486</f>
        <v>2660000</v>
      </c>
      <c r="V486" s="49">
        <f>T486+S486</f>
        <v>2660000</v>
      </c>
      <c r="W486" s="49"/>
      <c r="X486" s="49"/>
      <c r="Y486" s="49"/>
      <c r="Z486" s="49"/>
      <c r="AA486" s="49">
        <v>0</v>
      </c>
      <c r="AB486" s="49">
        <v>2660000</v>
      </c>
      <c r="AC486" s="49">
        <f t="shared" si="108"/>
        <v>0</v>
      </c>
      <c r="AD486" s="49">
        <f>AA486+T486+M486</f>
        <v>2660000</v>
      </c>
      <c r="AE486" s="49">
        <v>2630000</v>
      </c>
      <c r="AF486" s="49">
        <v>0</v>
      </c>
      <c r="AG486" s="49">
        <v>0</v>
      </c>
      <c r="AH486" s="49"/>
      <c r="AI486" s="49"/>
      <c r="AJ486" s="49"/>
      <c r="AK486" s="49">
        <f>Z486+Y486+X486+W486+N486+AG486+AE486+AJ486+AI486+AH486</f>
        <v>2630000</v>
      </c>
      <c r="AL486" s="49">
        <f>AK486/AD486*100</f>
        <v>98.872180451127818</v>
      </c>
      <c r="AM486" s="49"/>
      <c r="AN486" s="49"/>
      <c r="AO486" s="49"/>
      <c r="AP486" s="49"/>
      <c r="AQ486" s="49">
        <f>AK486+AM486+AN486+AO486+AP486</f>
        <v>2630000</v>
      </c>
      <c r="AR486" s="49">
        <f>AQ486/AB486*100</f>
        <v>98.872180451127818</v>
      </c>
      <c r="AS486" s="49">
        <f t="shared" si="113"/>
        <v>30000</v>
      </c>
      <c r="AT486" s="49">
        <v>3091500</v>
      </c>
      <c r="AU486" s="49">
        <f>AT486+U486</f>
        <v>5751500</v>
      </c>
      <c r="AV486" s="49">
        <f>AK486</f>
        <v>2630000</v>
      </c>
      <c r="AW486" s="72">
        <f>AV486/AU486*100</f>
        <v>45.72720159958272</v>
      </c>
      <c r="AX486" s="49">
        <f>AU486-AV486</f>
        <v>3121500</v>
      </c>
      <c r="AY486" s="49">
        <f t="shared" si="114"/>
        <v>1.1278195488721803</v>
      </c>
      <c r="AZ486" s="73">
        <f t="shared" si="115"/>
        <v>2630000</v>
      </c>
    </row>
    <row r="487" spans="1:53" ht="20.100000000000001" customHeight="1">
      <c r="A487" s="62">
        <v>31</v>
      </c>
      <c r="B487" s="63"/>
      <c r="C487" s="242" t="s">
        <v>680</v>
      </c>
      <c r="D487" s="242"/>
      <c r="E487" s="243"/>
      <c r="F487" s="64"/>
      <c r="G487" s="244" t="s">
        <v>681</v>
      </c>
      <c r="H487" s="244"/>
      <c r="I487" s="244"/>
      <c r="J487" s="244"/>
      <c r="K487" s="245"/>
      <c r="L487" s="65">
        <f>SUM(L490:L503)</f>
        <v>30090000</v>
      </c>
      <c r="M487" s="65">
        <f>SUM(M490:M503)</f>
        <v>0</v>
      </c>
      <c r="N487" s="65">
        <f>SUM(N490:N503)</f>
        <v>0</v>
      </c>
      <c r="O487" s="65">
        <f>SUM(O490:O503)</f>
        <v>0</v>
      </c>
      <c r="P487" s="65">
        <f>SUM(P490:P503)</f>
        <v>0</v>
      </c>
      <c r="Q487" s="65">
        <f>SUM(N487:P487)</f>
        <v>0</v>
      </c>
      <c r="R487" s="66"/>
      <c r="S487" s="65">
        <f>M487-Q487</f>
        <v>0</v>
      </c>
      <c r="T487" s="65">
        <f>SUM(T490:T503)</f>
        <v>0</v>
      </c>
      <c r="U487" s="65">
        <f>T487+M487</f>
        <v>0</v>
      </c>
      <c r="V487" s="65">
        <f>T487+S487</f>
        <v>0</v>
      </c>
      <c r="W487" s="65">
        <f>SUM(W490:W503)</f>
        <v>0</v>
      </c>
      <c r="X487" s="65">
        <f>SUM(X490:X503)</f>
        <v>0</v>
      </c>
      <c r="Y487" s="65">
        <f>SUM(Y490:Y503)</f>
        <v>0</v>
      </c>
      <c r="Z487" s="65"/>
      <c r="AA487" s="65">
        <f>SUM(AA490:AA503)</f>
        <v>30090000</v>
      </c>
      <c r="AB487" s="65">
        <f>SUM(AB490:AB503)</f>
        <v>30090000</v>
      </c>
      <c r="AC487" s="65">
        <f t="shared" si="108"/>
        <v>0</v>
      </c>
      <c r="AD487" s="65">
        <f>AA487+T487+M487</f>
        <v>30090000</v>
      </c>
      <c r="AE487" s="65">
        <f t="shared" ref="AE487:AK487" si="116">SUM(AE490:AE503)</f>
        <v>0</v>
      </c>
      <c r="AF487" s="65">
        <f t="shared" si="116"/>
        <v>0</v>
      </c>
      <c r="AG487" s="65">
        <f t="shared" si="116"/>
        <v>30079750</v>
      </c>
      <c r="AH487" s="65">
        <f t="shared" si="116"/>
        <v>0</v>
      </c>
      <c r="AI487" s="65">
        <f t="shared" si="116"/>
        <v>0</v>
      </c>
      <c r="AJ487" s="65">
        <f t="shared" si="116"/>
        <v>0</v>
      </c>
      <c r="AK487" s="65">
        <f t="shared" si="116"/>
        <v>30079750</v>
      </c>
      <c r="AL487" s="65">
        <f>AK487/AB487*100</f>
        <v>99.965935526753071</v>
      </c>
      <c r="AM487" s="65">
        <f>SUM(AM490:AM503)</f>
        <v>0</v>
      </c>
      <c r="AN487" s="65">
        <f>SUM(AN490:AN503)</f>
        <v>0</v>
      </c>
      <c r="AO487" s="65">
        <f>SUM(AO490:AO503)</f>
        <v>0</v>
      </c>
      <c r="AP487" s="65">
        <f>SUM(AP490:AP503)</f>
        <v>0</v>
      </c>
      <c r="AQ487" s="65">
        <f>AK487+AM487+AN487+AO487+AP487</f>
        <v>30079750</v>
      </c>
      <c r="AR487" s="65">
        <f>AQ487/AB487*100</f>
        <v>99.965935526753071</v>
      </c>
      <c r="AS487" s="65">
        <f>AB487-AQ487</f>
        <v>10250</v>
      </c>
      <c r="AT487" s="65">
        <f>SUM(AT490:AT496)</f>
        <v>9274500</v>
      </c>
      <c r="AU487" s="65">
        <f>AT487+U487</f>
        <v>9274500</v>
      </c>
      <c r="AV487" s="65">
        <f>AK487</f>
        <v>30079750</v>
      </c>
      <c r="AW487" s="66">
        <f>AV487/AU487*100</f>
        <v>324.32745700576851</v>
      </c>
      <c r="AX487" s="65">
        <f>AU487-AV487</f>
        <v>-20805250</v>
      </c>
      <c r="AY487" s="65">
        <f>AS487/AB487*100</f>
        <v>3.4064473246925887E-2</v>
      </c>
      <c r="AZ487" s="67">
        <f t="shared" si="115"/>
        <v>30079750</v>
      </c>
      <c r="BA487" s="29">
        <f>AS487</f>
        <v>10250</v>
      </c>
    </row>
    <row r="488" spans="1:53" ht="20.100000000000001" customHeight="1">
      <c r="A488" s="68"/>
      <c r="B488" s="69"/>
      <c r="C488" s="240" t="s">
        <v>682</v>
      </c>
      <c r="D488" s="240"/>
      <c r="E488" s="241"/>
      <c r="F488" s="70"/>
      <c r="G488" s="71"/>
      <c r="H488" s="240" t="s">
        <v>10</v>
      </c>
      <c r="I488" s="240"/>
      <c r="J488" s="240"/>
      <c r="K488" s="241"/>
      <c r="L488" s="49"/>
      <c r="M488" s="49"/>
      <c r="N488" s="49"/>
      <c r="O488" s="49"/>
      <c r="P488" s="49"/>
      <c r="Q488" s="49"/>
      <c r="R488" s="72"/>
      <c r="S488" s="49"/>
      <c r="T488" s="49"/>
      <c r="U488" s="49"/>
      <c r="V488" s="49"/>
      <c r="W488" s="49"/>
      <c r="X488" s="49"/>
      <c r="Y488" s="49"/>
      <c r="Z488" s="49"/>
      <c r="AA488" s="49"/>
      <c r="AB488" s="49"/>
      <c r="AC488" s="49">
        <f t="shared" si="108"/>
        <v>0</v>
      </c>
      <c r="AD488" s="49"/>
      <c r="AE488" s="49"/>
      <c r="AF488" s="49"/>
      <c r="AG488" s="49"/>
      <c r="AH488" s="49"/>
      <c r="AI488" s="49"/>
      <c r="AJ488" s="49"/>
      <c r="AK488" s="49"/>
      <c r="AL488" s="49"/>
      <c r="AM488" s="49"/>
      <c r="AN488" s="49"/>
      <c r="AO488" s="49"/>
      <c r="AP488" s="49"/>
      <c r="AQ488" s="49"/>
      <c r="AR488" s="49"/>
      <c r="AS488" s="49"/>
      <c r="AT488" s="49"/>
      <c r="AU488" s="49"/>
      <c r="AV488" s="49"/>
      <c r="AW488" s="49"/>
      <c r="AX488" s="49"/>
      <c r="AY488" s="49"/>
      <c r="AZ488" s="73">
        <f t="shared" si="115"/>
        <v>0</v>
      </c>
    </row>
    <row r="489" spans="1:53" ht="20.100000000000001" customHeight="1">
      <c r="A489" s="68"/>
      <c r="B489" s="69"/>
      <c r="C489" s="240" t="s">
        <v>683</v>
      </c>
      <c r="D489" s="240"/>
      <c r="E489" s="241"/>
      <c r="F489" s="70"/>
      <c r="G489" s="71"/>
      <c r="H489" s="71"/>
      <c r="I489" s="240" t="s">
        <v>177</v>
      </c>
      <c r="J489" s="240"/>
      <c r="K489" s="241"/>
      <c r="L489" s="49"/>
      <c r="M489" s="49"/>
      <c r="N489" s="49"/>
      <c r="O489" s="49"/>
      <c r="P489" s="49"/>
      <c r="Q489" s="49"/>
      <c r="R489" s="72"/>
      <c r="S489" s="49"/>
      <c r="T489" s="49"/>
      <c r="U489" s="49"/>
      <c r="V489" s="49"/>
      <c r="W489" s="49"/>
      <c r="X489" s="49"/>
      <c r="Y489" s="49"/>
      <c r="Z489" s="49"/>
      <c r="AA489" s="49"/>
      <c r="AB489" s="49"/>
      <c r="AC489" s="49">
        <f t="shared" si="108"/>
        <v>0</v>
      </c>
      <c r="AD489" s="49"/>
      <c r="AE489" s="49"/>
      <c r="AF489" s="49"/>
      <c r="AG489" s="49"/>
      <c r="AH489" s="49"/>
      <c r="AI489" s="49"/>
      <c r="AJ489" s="49"/>
      <c r="AK489" s="49"/>
      <c r="AL489" s="49"/>
      <c r="AM489" s="49"/>
      <c r="AN489" s="49"/>
      <c r="AO489" s="49"/>
      <c r="AP489" s="49"/>
      <c r="AQ489" s="49"/>
      <c r="AR489" s="49"/>
      <c r="AS489" s="49"/>
      <c r="AT489" s="49"/>
      <c r="AU489" s="49"/>
      <c r="AV489" s="49"/>
      <c r="AW489" s="49"/>
      <c r="AX489" s="49"/>
      <c r="AY489" s="49"/>
      <c r="AZ489" s="73">
        <f t="shared" si="115"/>
        <v>0</v>
      </c>
    </row>
    <row r="490" spans="1:53" ht="20.100000000000001" customHeight="1">
      <c r="A490" s="68"/>
      <c r="B490" s="69"/>
      <c r="C490" s="240" t="s">
        <v>684</v>
      </c>
      <c r="D490" s="240"/>
      <c r="E490" s="241"/>
      <c r="F490" s="70"/>
      <c r="G490" s="71"/>
      <c r="H490" s="71"/>
      <c r="I490" s="71"/>
      <c r="J490" s="240" t="s">
        <v>283</v>
      </c>
      <c r="K490" s="241"/>
      <c r="L490" s="49">
        <v>1080000</v>
      </c>
      <c r="M490" s="49">
        <v>0</v>
      </c>
      <c r="N490" s="49"/>
      <c r="O490" s="49"/>
      <c r="P490" s="49"/>
      <c r="Q490" s="49">
        <f>SUM(N490:P490)</f>
        <v>0</v>
      </c>
      <c r="R490" s="72"/>
      <c r="S490" s="49">
        <f>M490-Q490</f>
        <v>0</v>
      </c>
      <c r="T490" s="49">
        <v>0</v>
      </c>
      <c r="U490" s="49">
        <f>T490+M490</f>
        <v>0</v>
      </c>
      <c r="V490" s="49">
        <f>T490+S490</f>
        <v>0</v>
      </c>
      <c r="W490" s="49"/>
      <c r="X490" s="49"/>
      <c r="Y490" s="49"/>
      <c r="Z490" s="49"/>
      <c r="AA490" s="49">
        <v>1080000</v>
      </c>
      <c r="AB490" s="49">
        <v>1080000</v>
      </c>
      <c r="AC490" s="49">
        <f t="shared" si="108"/>
        <v>0</v>
      </c>
      <c r="AD490" s="49">
        <f>AA490+T490+M490</f>
        <v>1080000</v>
      </c>
      <c r="AE490" s="49"/>
      <c r="AF490" s="49"/>
      <c r="AG490" s="49">
        <v>1080000</v>
      </c>
      <c r="AH490" s="49"/>
      <c r="AI490" s="49"/>
      <c r="AJ490" s="49"/>
      <c r="AK490" s="49">
        <f>Z490+Y490+X490+W490+N490+AG490+AE490+AJ490+AI490+AH490</f>
        <v>1080000</v>
      </c>
      <c r="AL490" s="49">
        <f>AK490/AD490*100</f>
        <v>100</v>
      </c>
      <c r="AM490" s="49"/>
      <c r="AN490" s="49"/>
      <c r="AO490" s="49"/>
      <c r="AP490" s="49"/>
      <c r="AQ490" s="49">
        <f>AK490+AM490+AN490+AO490+AP490</f>
        <v>1080000</v>
      </c>
      <c r="AR490" s="49">
        <f>AQ490/AB490*100</f>
        <v>100</v>
      </c>
      <c r="AS490" s="49">
        <f t="shared" si="113"/>
        <v>0</v>
      </c>
      <c r="AT490" s="49">
        <v>3091500</v>
      </c>
      <c r="AU490" s="49">
        <f>AT490+U490</f>
        <v>3091500</v>
      </c>
      <c r="AV490" s="49">
        <f>AK490</f>
        <v>1080000</v>
      </c>
      <c r="AW490" s="72">
        <f>AV490/AU490*100</f>
        <v>34.934497816593883</v>
      </c>
      <c r="AX490" s="49">
        <f>AU490-AV490</f>
        <v>2011500</v>
      </c>
      <c r="AY490" s="49">
        <f t="shared" si="114"/>
        <v>0</v>
      </c>
      <c r="AZ490" s="73">
        <f t="shared" si="115"/>
        <v>1080000</v>
      </c>
    </row>
    <row r="491" spans="1:53" ht="20.100000000000001" customHeight="1">
      <c r="A491" s="68"/>
      <c r="B491" s="69"/>
      <c r="C491" s="240" t="s">
        <v>685</v>
      </c>
      <c r="D491" s="240"/>
      <c r="E491" s="241"/>
      <c r="F491" s="70"/>
      <c r="G491" s="71"/>
      <c r="H491" s="240" t="s">
        <v>143</v>
      </c>
      <c r="I491" s="240"/>
      <c r="J491" s="240"/>
      <c r="K491" s="241"/>
      <c r="L491" s="49"/>
      <c r="M491" s="49"/>
      <c r="N491" s="49"/>
      <c r="O491" s="49"/>
      <c r="P491" s="49"/>
      <c r="Q491" s="49"/>
      <c r="R491" s="72"/>
      <c r="S491" s="49"/>
      <c r="T491" s="49"/>
      <c r="U491" s="49"/>
      <c r="V491" s="49"/>
      <c r="W491" s="49"/>
      <c r="X491" s="49"/>
      <c r="Y491" s="49"/>
      <c r="Z491" s="49"/>
      <c r="AA491" s="49"/>
      <c r="AB491" s="49"/>
      <c r="AC491" s="49">
        <f t="shared" si="108"/>
        <v>0</v>
      </c>
      <c r="AD491" s="49"/>
      <c r="AE491" s="49"/>
      <c r="AF491" s="49"/>
      <c r="AG491" s="49"/>
      <c r="AH491" s="49"/>
      <c r="AI491" s="49"/>
      <c r="AJ491" s="49"/>
      <c r="AK491" s="49"/>
      <c r="AL491" s="49"/>
      <c r="AM491" s="49"/>
      <c r="AN491" s="49"/>
      <c r="AO491" s="49"/>
      <c r="AP491" s="49"/>
      <c r="AQ491" s="49"/>
      <c r="AR491" s="49"/>
      <c r="AS491" s="49"/>
      <c r="AT491" s="49"/>
      <c r="AU491" s="49"/>
      <c r="AV491" s="49"/>
      <c r="AW491" s="49"/>
      <c r="AX491" s="49"/>
      <c r="AY491" s="49"/>
      <c r="AZ491" s="73">
        <f t="shared" si="115"/>
        <v>0</v>
      </c>
    </row>
    <row r="492" spans="1:53" ht="20.100000000000001" customHeight="1">
      <c r="A492" s="68"/>
      <c r="B492" s="69"/>
      <c r="C492" s="240" t="s">
        <v>686</v>
      </c>
      <c r="D492" s="240"/>
      <c r="E492" s="241"/>
      <c r="F492" s="70"/>
      <c r="G492" s="71"/>
      <c r="H492" s="71"/>
      <c r="I492" s="240" t="s">
        <v>145</v>
      </c>
      <c r="J492" s="240"/>
      <c r="K492" s="241"/>
      <c r="L492" s="49"/>
      <c r="M492" s="49"/>
      <c r="N492" s="49"/>
      <c r="O492" s="49"/>
      <c r="P492" s="49"/>
      <c r="Q492" s="49"/>
      <c r="R492" s="72"/>
      <c r="S492" s="49"/>
      <c r="T492" s="49"/>
      <c r="U492" s="49"/>
      <c r="V492" s="49"/>
      <c r="W492" s="49"/>
      <c r="X492" s="49"/>
      <c r="Y492" s="49"/>
      <c r="Z492" s="49"/>
      <c r="AA492" s="49"/>
      <c r="AB492" s="49"/>
      <c r="AC492" s="49">
        <f t="shared" si="108"/>
        <v>0</v>
      </c>
      <c r="AD492" s="49"/>
      <c r="AE492" s="49"/>
      <c r="AF492" s="49"/>
      <c r="AG492" s="49"/>
      <c r="AH492" s="49"/>
      <c r="AI492" s="49"/>
      <c r="AJ492" s="49"/>
      <c r="AK492" s="49"/>
      <c r="AL492" s="49"/>
      <c r="AM492" s="49"/>
      <c r="AN492" s="49"/>
      <c r="AO492" s="49"/>
      <c r="AP492" s="49"/>
      <c r="AQ492" s="49"/>
      <c r="AR492" s="49"/>
      <c r="AS492" s="49"/>
      <c r="AT492" s="49"/>
      <c r="AU492" s="49"/>
      <c r="AV492" s="49"/>
      <c r="AW492" s="49"/>
      <c r="AX492" s="49"/>
      <c r="AY492" s="49"/>
      <c r="AZ492" s="73">
        <f t="shared" si="115"/>
        <v>0</v>
      </c>
    </row>
    <row r="493" spans="1:53" ht="20.100000000000001" customHeight="1">
      <c r="A493" s="68"/>
      <c r="B493" s="69"/>
      <c r="C493" s="240" t="s">
        <v>687</v>
      </c>
      <c r="D493" s="240"/>
      <c r="E493" s="241"/>
      <c r="F493" s="70"/>
      <c r="G493" s="71"/>
      <c r="H493" s="71"/>
      <c r="I493" s="71"/>
      <c r="J493" s="240" t="s">
        <v>147</v>
      </c>
      <c r="K493" s="241"/>
      <c r="L493" s="49">
        <v>855000</v>
      </c>
      <c r="M493" s="49">
        <v>0</v>
      </c>
      <c r="N493" s="49"/>
      <c r="O493" s="49"/>
      <c r="P493" s="49"/>
      <c r="Q493" s="49">
        <f>SUM(N493:P493)</f>
        <v>0</v>
      </c>
      <c r="R493" s="72"/>
      <c r="S493" s="49">
        <f>M493-Q493</f>
        <v>0</v>
      </c>
      <c r="T493" s="49">
        <v>0</v>
      </c>
      <c r="U493" s="49">
        <f>T493+M493</f>
        <v>0</v>
      </c>
      <c r="V493" s="49">
        <f>T493+S493</f>
        <v>0</v>
      </c>
      <c r="W493" s="49"/>
      <c r="X493" s="49"/>
      <c r="Y493" s="49"/>
      <c r="Z493" s="49"/>
      <c r="AA493" s="49">
        <v>855000</v>
      </c>
      <c r="AB493" s="49">
        <v>855000</v>
      </c>
      <c r="AC493" s="49">
        <f t="shared" si="108"/>
        <v>0</v>
      </c>
      <c r="AD493" s="49">
        <f>AA493+T493+M493</f>
        <v>855000</v>
      </c>
      <c r="AE493" s="49"/>
      <c r="AF493" s="49"/>
      <c r="AG493" s="49">
        <v>854750</v>
      </c>
      <c r="AH493" s="49"/>
      <c r="AI493" s="49"/>
      <c r="AJ493" s="49"/>
      <c r="AK493" s="49">
        <f>Z493+Y493+X493+W493+N493+AG493+AE493+AJ493+AI493+AH493</f>
        <v>854750</v>
      </c>
      <c r="AL493" s="49">
        <f>AK493/AD493*100</f>
        <v>99.970760233918128</v>
      </c>
      <c r="AM493" s="49"/>
      <c r="AN493" s="49"/>
      <c r="AO493" s="49"/>
      <c r="AP493" s="49"/>
      <c r="AQ493" s="49">
        <f>AK493+AM493+AN493+AO493+AP493</f>
        <v>854750</v>
      </c>
      <c r="AR493" s="49">
        <f>AQ493/AB493*100</f>
        <v>99.970760233918128</v>
      </c>
      <c r="AS493" s="49">
        <f t="shared" si="113"/>
        <v>250</v>
      </c>
      <c r="AT493" s="49">
        <v>3091500</v>
      </c>
      <c r="AU493" s="49">
        <f>AT493+U493</f>
        <v>3091500</v>
      </c>
      <c r="AV493" s="49">
        <f>AK493</f>
        <v>854750</v>
      </c>
      <c r="AW493" s="72">
        <f>AV493/AU493*100</f>
        <v>27.648390748827428</v>
      </c>
      <c r="AX493" s="49">
        <f>AU493-AV493</f>
        <v>2236750</v>
      </c>
      <c r="AY493" s="49">
        <f t="shared" si="114"/>
        <v>2.9239766081871347E-2</v>
      </c>
      <c r="AZ493" s="73">
        <f t="shared" si="115"/>
        <v>854750</v>
      </c>
    </row>
    <row r="494" spans="1:53" ht="20.100000000000001" customHeight="1">
      <c r="A494" s="68"/>
      <c r="B494" s="69"/>
      <c r="C494" s="240" t="s">
        <v>688</v>
      </c>
      <c r="D494" s="240"/>
      <c r="E494" s="241"/>
      <c r="F494" s="70"/>
      <c r="G494" s="71"/>
      <c r="H494" s="71"/>
      <c r="I494" s="240" t="s">
        <v>163</v>
      </c>
      <c r="J494" s="240"/>
      <c r="K494" s="241"/>
      <c r="L494" s="49"/>
      <c r="M494" s="49"/>
      <c r="N494" s="49"/>
      <c r="O494" s="49"/>
      <c r="P494" s="49"/>
      <c r="Q494" s="49"/>
      <c r="R494" s="72"/>
      <c r="S494" s="49"/>
      <c r="T494" s="49"/>
      <c r="U494" s="49"/>
      <c r="V494" s="49"/>
      <c r="W494" s="49"/>
      <c r="X494" s="49"/>
      <c r="Y494" s="49"/>
      <c r="Z494" s="49"/>
      <c r="AA494" s="49"/>
      <c r="AB494" s="49"/>
      <c r="AC494" s="49">
        <f t="shared" si="108"/>
        <v>0</v>
      </c>
      <c r="AD494" s="49"/>
      <c r="AE494" s="49"/>
      <c r="AF494" s="49"/>
      <c r="AG494" s="49"/>
      <c r="AH494" s="49"/>
      <c r="AI494" s="49"/>
      <c r="AJ494" s="49"/>
      <c r="AK494" s="49"/>
      <c r="AL494" s="49"/>
      <c r="AM494" s="49"/>
      <c r="AN494" s="49"/>
      <c r="AO494" s="49"/>
      <c r="AP494" s="49"/>
      <c r="AQ494" s="49"/>
      <c r="AR494" s="49"/>
      <c r="AS494" s="49"/>
      <c r="AT494" s="49"/>
      <c r="AU494" s="49"/>
      <c r="AV494" s="49"/>
      <c r="AW494" s="49"/>
      <c r="AX494" s="49"/>
      <c r="AY494" s="49"/>
      <c r="AZ494" s="73">
        <f t="shared" si="115"/>
        <v>0</v>
      </c>
    </row>
    <row r="495" spans="1:53" ht="20.100000000000001" customHeight="1">
      <c r="A495" s="68"/>
      <c r="B495" s="69"/>
      <c r="C495" s="240" t="s">
        <v>689</v>
      </c>
      <c r="D495" s="240"/>
      <c r="E495" s="241"/>
      <c r="F495" s="70"/>
      <c r="G495" s="71"/>
      <c r="H495" s="71"/>
      <c r="I495" s="71"/>
      <c r="J495" s="240" t="s">
        <v>352</v>
      </c>
      <c r="K495" s="241"/>
      <c r="L495" s="49">
        <v>10000000</v>
      </c>
      <c r="M495" s="49">
        <v>0</v>
      </c>
      <c r="N495" s="49"/>
      <c r="O495" s="49"/>
      <c r="P495" s="49"/>
      <c r="Q495" s="49">
        <f>SUM(N495:P495)</f>
        <v>0</v>
      </c>
      <c r="R495" s="72"/>
      <c r="S495" s="49">
        <f>M495-Q495</f>
        <v>0</v>
      </c>
      <c r="T495" s="49">
        <v>0</v>
      </c>
      <c r="U495" s="49">
        <f>T495+M495</f>
        <v>0</v>
      </c>
      <c r="V495" s="49">
        <f>T495+S495</f>
        <v>0</v>
      </c>
      <c r="W495" s="49"/>
      <c r="X495" s="49"/>
      <c r="Y495" s="49"/>
      <c r="Z495" s="49"/>
      <c r="AA495" s="49">
        <v>10000000</v>
      </c>
      <c r="AB495" s="49">
        <v>10000000</v>
      </c>
      <c r="AC495" s="49">
        <f t="shared" si="108"/>
        <v>0</v>
      </c>
      <c r="AD495" s="49">
        <f>AA495+T495+M495</f>
        <v>10000000</v>
      </c>
      <c r="AE495" s="49"/>
      <c r="AF495" s="49"/>
      <c r="AG495" s="49">
        <v>10000000</v>
      </c>
      <c r="AH495" s="49"/>
      <c r="AI495" s="49"/>
      <c r="AJ495" s="49"/>
      <c r="AK495" s="49">
        <f>Z495+Y495+X495+W495+N495+AG495+AE495+AJ495+AI495+AH495</f>
        <v>10000000</v>
      </c>
      <c r="AL495" s="49">
        <f>AK495/AD495*100</f>
        <v>100</v>
      </c>
      <c r="AM495" s="49"/>
      <c r="AN495" s="49"/>
      <c r="AO495" s="49"/>
      <c r="AP495" s="49"/>
      <c r="AQ495" s="49">
        <f>AK495+AM495+AN495+AO495+AP495</f>
        <v>10000000</v>
      </c>
      <c r="AR495" s="49">
        <f>AQ495/AB495*100</f>
        <v>100</v>
      </c>
      <c r="AS495" s="49">
        <f t="shared" si="113"/>
        <v>0</v>
      </c>
      <c r="AT495" s="49">
        <v>3091500</v>
      </c>
      <c r="AU495" s="49">
        <f>AT495+U495</f>
        <v>3091500</v>
      </c>
      <c r="AV495" s="49">
        <f>AK495</f>
        <v>10000000</v>
      </c>
      <c r="AW495" s="72">
        <f>AV495/AU495*100</f>
        <v>323.46757237586934</v>
      </c>
      <c r="AX495" s="49">
        <f>AU495-AV495</f>
        <v>-6908500</v>
      </c>
      <c r="AY495" s="49">
        <f t="shared" si="114"/>
        <v>0</v>
      </c>
      <c r="AZ495" s="73">
        <f t="shared" si="115"/>
        <v>10000000</v>
      </c>
    </row>
    <row r="496" spans="1:53" ht="20.100000000000001" customHeight="1">
      <c r="A496" s="68"/>
      <c r="B496" s="69"/>
      <c r="C496" s="240" t="s">
        <v>690</v>
      </c>
      <c r="D496" s="240"/>
      <c r="E496" s="241"/>
      <c r="F496" s="70"/>
      <c r="G496" s="71"/>
      <c r="H496" s="71"/>
      <c r="I496" s="240" t="s">
        <v>151</v>
      </c>
      <c r="J496" s="240"/>
      <c r="K496" s="241"/>
      <c r="L496" s="49"/>
      <c r="M496" s="49"/>
      <c r="N496" s="49"/>
      <c r="O496" s="49"/>
      <c r="P496" s="49"/>
      <c r="Q496" s="49"/>
      <c r="R496" s="72"/>
      <c r="S496" s="49"/>
      <c r="T496" s="49"/>
      <c r="U496" s="49"/>
      <c r="V496" s="49"/>
      <c r="W496" s="49"/>
      <c r="X496" s="49"/>
      <c r="Y496" s="49"/>
      <c r="Z496" s="49"/>
      <c r="AA496" s="49"/>
      <c r="AB496" s="49"/>
      <c r="AC496" s="49">
        <f t="shared" si="108"/>
        <v>0</v>
      </c>
      <c r="AD496" s="49"/>
      <c r="AE496" s="49"/>
      <c r="AF496" s="49"/>
      <c r="AG496" s="49"/>
      <c r="AH496" s="49"/>
      <c r="AI496" s="49"/>
      <c r="AJ496" s="49"/>
      <c r="AK496" s="49"/>
      <c r="AL496" s="49"/>
      <c r="AM496" s="49"/>
      <c r="AN496" s="49"/>
      <c r="AO496" s="49"/>
      <c r="AP496" s="49"/>
      <c r="AQ496" s="49"/>
      <c r="AR496" s="49"/>
      <c r="AS496" s="49"/>
      <c r="AT496" s="49"/>
      <c r="AU496" s="49"/>
      <c r="AV496" s="49"/>
      <c r="AW496" s="49"/>
      <c r="AX496" s="49"/>
      <c r="AY496" s="49"/>
      <c r="AZ496" s="73">
        <f t="shared" si="115"/>
        <v>0</v>
      </c>
    </row>
    <row r="497" spans="1:53" ht="20.100000000000001" customHeight="1">
      <c r="A497" s="68"/>
      <c r="B497" s="69"/>
      <c r="C497" s="240" t="s">
        <v>691</v>
      </c>
      <c r="D497" s="240"/>
      <c r="E497" s="241"/>
      <c r="F497" s="70"/>
      <c r="G497" s="71"/>
      <c r="H497" s="71"/>
      <c r="I497" s="71"/>
      <c r="J497" s="240" t="s">
        <v>155</v>
      </c>
      <c r="K497" s="241"/>
      <c r="L497" s="49">
        <v>875000</v>
      </c>
      <c r="M497" s="49">
        <v>0</v>
      </c>
      <c r="N497" s="49"/>
      <c r="O497" s="49"/>
      <c r="P497" s="49"/>
      <c r="Q497" s="49">
        <f>SUM(N497:P497)</f>
        <v>0</v>
      </c>
      <c r="R497" s="72"/>
      <c r="S497" s="49">
        <f>M497-Q497</f>
        <v>0</v>
      </c>
      <c r="T497" s="49">
        <v>0</v>
      </c>
      <c r="U497" s="49">
        <f>T497+M497</f>
        <v>0</v>
      </c>
      <c r="V497" s="49">
        <f>T497+S497</f>
        <v>0</v>
      </c>
      <c r="W497" s="49"/>
      <c r="X497" s="49"/>
      <c r="Y497" s="49"/>
      <c r="Z497" s="49"/>
      <c r="AA497" s="49">
        <v>875000</v>
      </c>
      <c r="AB497" s="49">
        <v>875000</v>
      </c>
      <c r="AC497" s="49">
        <f t="shared" si="108"/>
        <v>0</v>
      </c>
      <c r="AD497" s="49">
        <f>AA497+T497+M497</f>
        <v>875000</v>
      </c>
      <c r="AE497" s="49"/>
      <c r="AF497" s="49"/>
      <c r="AG497" s="49">
        <v>875000</v>
      </c>
      <c r="AH497" s="49"/>
      <c r="AI497" s="49"/>
      <c r="AJ497" s="49"/>
      <c r="AK497" s="49">
        <f>Z497+Y497+X497+W497+N497+AG497+AE497+AJ497+AI497+AH497</f>
        <v>875000</v>
      </c>
      <c r="AL497" s="49">
        <f>AK497/AD497*100</f>
        <v>100</v>
      </c>
      <c r="AM497" s="49"/>
      <c r="AN497" s="49"/>
      <c r="AO497" s="49"/>
      <c r="AP497" s="49"/>
      <c r="AQ497" s="49">
        <f>AK497+AM497+AN497+AO497+AP497</f>
        <v>875000</v>
      </c>
      <c r="AR497" s="49">
        <f>AQ497/AB497*100</f>
        <v>100</v>
      </c>
      <c r="AS497" s="49">
        <f t="shared" si="113"/>
        <v>0</v>
      </c>
      <c r="AT497" s="49">
        <v>3091500</v>
      </c>
      <c r="AU497" s="49">
        <f>AT497+U497</f>
        <v>3091500</v>
      </c>
      <c r="AV497" s="49">
        <f>AK497</f>
        <v>875000</v>
      </c>
      <c r="AW497" s="72">
        <f>AV497/AU497*100</f>
        <v>28.303412582888566</v>
      </c>
      <c r="AX497" s="49">
        <f>AU497-AV497</f>
        <v>2216500</v>
      </c>
      <c r="AY497" s="49">
        <f t="shared" si="114"/>
        <v>0</v>
      </c>
      <c r="AZ497" s="73">
        <f t="shared" si="115"/>
        <v>875000</v>
      </c>
    </row>
    <row r="498" spans="1:53" ht="20.100000000000001" customHeight="1">
      <c r="A498" s="68"/>
      <c r="B498" s="69"/>
      <c r="C498" s="240" t="s">
        <v>692</v>
      </c>
      <c r="D498" s="240"/>
      <c r="E498" s="241"/>
      <c r="F498" s="70"/>
      <c r="G498" s="71"/>
      <c r="H498" s="71"/>
      <c r="I498" s="240" t="s">
        <v>193</v>
      </c>
      <c r="J498" s="240"/>
      <c r="K498" s="241"/>
      <c r="L498" s="49"/>
      <c r="M498" s="49"/>
      <c r="N498" s="49"/>
      <c r="O498" s="49"/>
      <c r="P498" s="49"/>
      <c r="Q498" s="49"/>
      <c r="R498" s="72"/>
      <c r="S498" s="49"/>
      <c r="T498" s="49"/>
      <c r="U498" s="49"/>
      <c r="V498" s="49"/>
      <c r="W498" s="49"/>
      <c r="X498" s="49"/>
      <c r="Y498" s="49"/>
      <c r="Z498" s="49"/>
      <c r="AA498" s="49"/>
      <c r="AB498" s="49"/>
      <c r="AC498" s="49">
        <f t="shared" si="108"/>
        <v>0</v>
      </c>
      <c r="AD498" s="49"/>
      <c r="AE498" s="49"/>
      <c r="AF498" s="49"/>
      <c r="AG498" s="49"/>
      <c r="AH498" s="49"/>
      <c r="AI498" s="49"/>
      <c r="AJ498" s="49"/>
      <c r="AK498" s="49"/>
      <c r="AL498" s="49"/>
      <c r="AM498" s="49"/>
      <c r="AN498" s="49"/>
      <c r="AO498" s="49"/>
      <c r="AP498" s="49"/>
      <c r="AQ498" s="49"/>
      <c r="AR498" s="49"/>
      <c r="AS498" s="49"/>
      <c r="AT498" s="49"/>
      <c r="AU498" s="49"/>
      <c r="AV498" s="49"/>
      <c r="AW498" s="49"/>
      <c r="AX498" s="49"/>
      <c r="AY498" s="49"/>
      <c r="AZ498" s="73">
        <f t="shared" si="115"/>
        <v>0</v>
      </c>
    </row>
    <row r="499" spans="1:53" ht="20.100000000000001" customHeight="1">
      <c r="A499" s="68"/>
      <c r="B499" s="69"/>
      <c r="C499" s="240" t="s">
        <v>693</v>
      </c>
      <c r="D499" s="240"/>
      <c r="E499" s="241"/>
      <c r="F499" s="70"/>
      <c r="G499" s="71"/>
      <c r="H499" s="71"/>
      <c r="I499" s="71"/>
      <c r="J499" s="240" t="s">
        <v>195</v>
      </c>
      <c r="K499" s="241"/>
      <c r="L499" s="49">
        <v>8900000</v>
      </c>
      <c r="M499" s="49">
        <v>0</v>
      </c>
      <c r="N499" s="49"/>
      <c r="O499" s="49"/>
      <c r="P499" s="49"/>
      <c r="Q499" s="49">
        <f>SUM(N499:P499)</f>
        <v>0</v>
      </c>
      <c r="R499" s="72"/>
      <c r="S499" s="49">
        <f>M499-Q499</f>
        <v>0</v>
      </c>
      <c r="T499" s="49">
        <v>0</v>
      </c>
      <c r="U499" s="49">
        <f>T499+M499</f>
        <v>0</v>
      </c>
      <c r="V499" s="49">
        <f>T499+S499</f>
        <v>0</v>
      </c>
      <c r="W499" s="49"/>
      <c r="X499" s="49"/>
      <c r="Y499" s="49"/>
      <c r="Z499" s="49"/>
      <c r="AA499" s="49">
        <v>8900000</v>
      </c>
      <c r="AB499" s="49">
        <v>8900000</v>
      </c>
      <c r="AC499" s="49">
        <f t="shared" si="108"/>
        <v>0</v>
      </c>
      <c r="AD499" s="49">
        <f>AA499+T499+M499</f>
        <v>8900000</v>
      </c>
      <c r="AE499" s="49"/>
      <c r="AF499" s="49"/>
      <c r="AG499" s="49">
        <v>8900000</v>
      </c>
      <c r="AH499" s="49"/>
      <c r="AI499" s="49"/>
      <c r="AJ499" s="49"/>
      <c r="AK499" s="49">
        <f>Z499+Y499+X499+W499+N499+AG499+AE499+AJ499+AI499+AH499</f>
        <v>8900000</v>
      </c>
      <c r="AL499" s="49">
        <f>AK499/AD499*100</f>
        <v>100</v>
      </c>
      <c r="AM499" s="49"/>
      <c r="AN499" s="49"/>
      <c r="AO499" s="49"/>
      <c r="AP499" s="49"/>
      <c r="AQ499" s="49">
        <f>AK499+AM499+AN499+AO499+AP499</f>
        <v>8900000</v>
      </c>
      <c r="AR499" s="49">
        <f>AQ499/AB499*100</f>
        <v>100</v>
      </c>
      <c r="AS499" s="49">
        <f t="shared" si="113"/>
        <v>0</v>
      </c>
      <c r="AT499" s="49">
        <v>3091500</v>
      </c>
      <c r="AU499" s="49">
        <f>AT499+U499</f>
        <v>3091500</v>
      </c>
      <c r="AV499" s="49">
        <f>AK499</f>
        <v>8900000</v>
      </c>
      <c r="AW499" s="72">
        <f>AV499/AU499*100</f>
        <v>287.88613941452371</v>
      </c>
      <c r="AX499" s="49">
        <f>AU499-AV499</f>
        <v>-5808500</v>
      </c>
      <c r="AY499" s="49">
        <f t="shared" si="114"/>
        <v>0</v>
      </c>
      <c r="AZ499" s="73">
        <f t="shared" si="115"/>
        <v>8900000</v>
      </c>
    </row>
    <row r="500" spans="1:53" ht="20.100000000000001" customHeight="1">
      <c r="A500" s="68"/>
      <c r="B500" s="69"/>
      <c r="C500" s="240" t="s">
        <v>694</v>
      </c>
      <c r="D500" s="240"/>
      <c r="E500" s="241"/>
      <c r="F500" s="70"/>
      <c r="G500" s="71"/>
      <c r="H500" s="71"/>
      <c r="I500" s="240" t="s">
        <v>48</v>
      </c>
      <c r="J500" s="240"/>
      <c r="K500" s="241"/>
      <c r="L500" s="49"/>
      <c r="M500" s="49"/>
      <c r="N500" s="49"/>
      <c r="O500" s="49"/>
      <c r="P500" s="49"/>
      <c r="Q500" s="49"/>
      <c r="R500" s="72"/>
      <c r="S500" s="49"/>
      <c r="T500" s="49"/>
      <c r="U500" s="49"/>
      <c r="V500" s="49"/>
      <c r="W500" s="49"/>
      <c r="X500" s="49"/>
      <c r="Y500" s="49"/>
      <c r="Z500" s="49"/>
      <c r="AA500" s="49"/>
      <c r="AB500" s="49"/>
      <c r="AC500" s="49">
        <f t="shared" ref="AC500:AC563" si="117">AB500-L500</f>
        <v>0</v>
      </c>
      <c r="AD500" s="49"/>
      <c r="AE500" s="49"/>
      <c r="AF500" s="49"/>
      <c r="AG500" s="49"/>
      <c r="AH500" s="49"/>
      <c r="AI500" s="49"/>
      <c r="AJ500" s="49"/>
      <c r="AK500" s="49"/>
      <c r="AL500" s="49"/>
      <c r="AM500" s="49"/>
      <c r="AN500" s="49"/>
      <c r="AO500" s="49"/>
      <c r="AP500" s="49"/>
      <c r="AQ500" s="49"/>
      <c r="AR500" s="49"/>
      <c r="AS500" s="49"/>
      <c r="AT500" s="49"/>
      <c r="AU500" s="49"/>
      <c r="AV500" s="49"/>
      <c r="AW500" s="49"/>
      <c r="AX500" s="49"/>
      <c r="AY500" s="49"/>
      <c r="AZ500" s="73">
        <f t="shared" si="115"/>
        <v>0</v>
      </c>
    </row>
    <row r="501" spans="1:53" ht="20.100000000000001" customHeight="1">
      <c r="A501" s="68"/>
      <c r="B501" s="69"/>
      <c r="C501" s="240" t="s">
        <v>695</v>
      </c>
      <c r="D501" s="240"/>
      <c r="E501" s="241"/>
      <c r="F501" s="70"/>
      <c r="G501" s="71"/>
      <c r="H501" s="71"/>
      <c r="I501" s="71"/>
      <c r="J501" s="240" t="s">
        <v>159</v>
      </c>
      <c r="K501" s="241"/>
      <c r="L501" s="49">
        <v>3580000</v>
      </c>
      <c r="M501" s="49">
        <v>0</v>
      </c>
      <c r="N501" s="49"/>
      <c r="O501" s="49"/>
      <c r="P501" s="49"/>
      <c r="Q501" s="49">
        <f>SUM(N501:P501)</f>
        <v>0</v>
      </c>
      <c r="R501" s="72"/>
      <c r="S501" s="49">
        <f>M501-Q501</f>
        <v>0</v>
      </c>
      <c r="T501" s="49">
        <v>0</v>
      </c>
      <c r="U501" s="49">
        <f>T501+M501</f>
        <v>0</v>
      </c>
      <c r="V501" s="49">
        <f>T501+S501</f>
        <v>0</v>
      </c>
      <c r="W501" s="49"/>
      <c r="X501" s="49"/>
      <c r="Y501" s="49"/>
      <c r="Z501" s="49"/>
      <c r="AA501" s="49">
        <v>3580000</v>
      </c>
      <c r="AB501" s="49">
        <v>3580000</v>
      </c>
      <c r="AC501" s="49">
        <f t="shared" si="117"/>
        <v>0</v>
      </c>
      <c r="AD501" s="49">
        <f>AA501+T501+M501</f>
        <v>3580000</v>
      </c>
      <c r="AE501" s="49"/>
      <c r="AF501" s="49"/>
      <c r="AG501" s="49">
        <v>3570000</v>
      </c>
      <c r="AH501" s="49"/>
      <c r="AI501" s="49"/>
      <c r="AJ501" s="49"/>
      <c r="AK501" s="49">
        <f>Z501+Y501+X501+W501+N501+AG501+AE501+AJ501+AI501+AH501</f>
        <v>3570000</v>
      </c>
      <c r="AL501" s="49">
        <f>AK501/AD501*100</f>
        <v>99.720670391061446</v>
      </c>
      <c r="AM501" s="49"/>
      <c r="AN501" s="49"/>
      <c r="AO501" s="49"/>
      <c r="AP501" s="49"/>
      <c r="AQ501" s="49">
        <f>AK501+AM501+AN501+AO501+AP501</f>
        <v>3570000</v>
      </c>
      <c r="AR501" s="49">
        <f>AQ501/AB501*100</f>
        <v>99.720670391061446</v>
      </c>
      <c r="AS501" s="49">
        <f t="shared" si="113"/>
        <v>10000</v>
      </c>
      <c r="AT501" s="49">
        <v>3091500</v>
      </c>
      <c r="AU501" s="49">
        <f>AT501+U501</f>
        <v>3091500</v>
      </c>
      <c r="AV501" s="49">
        <f>AK501</f>
        <v>3570000</v>
      </c>
      <c r="AW501" s="72">
        <f>AV501/AU501*100</f>
        <v>115.47792333818533</v>
      </c>
      <c r="AX501" s="49">
        <f>AU501-AV501</f>
        <v>-478500</v>
      </c>
      <c r="AY501" s="49">
        <f t="shared" si="114"/>
        <v>0.27932960893854747</v>
      </c>
      <c r="AZ501" s="73">
        <f t="shared" si="115"/>
        <v>3570000</v>
      </c>
    </row>
    <row r="502" spans="1:53" ht="20.100000000000001" customHeight="1">
      <c r="A502" s="68"/>
      <c r="B502" s="69"/>
      <c r="C502" s="240" t="s">
        <v>696</v>
      </c>
      <c r="D502" s="240"/>
      <c r="E502" s="241"/>
      <c r="F502" s="70"/>
      <c r="G502" s="71"/>
      <c r="H502" s="71"/>
      <c r="I502" s="240" t="s">
        <v>402</v>
      </c>
      <c r="J502" s="240"/>
      <c r="K502" s="241"/>
      <c r="L502" s="49"/>
      <c r="M502" s="49"/>
      <c r="N502" s="49"/>
      <c r="O502" s="49"/>
      <c r="P502" s="49"/>
      <c r="Q502" s="49"/>
      <c r="R502" s="72"/>
      <c r="S502" s="49"/>
      <c r="T502" s="49"/>
      <c r="U502" s="49"/>
      <c r="V502" s="49"/>
      <c r="W502" s="49"/>
      <c r="X502" s="49"/>
      <c r="Y502" s="49"/>
      <c r="Z502" s="49"/>
      <c r="AA502" s="49"/>
      <c r="AB502" s="49"/>
      <c r="AC502" s="49">
        <f t="shared" si="117"/>
        <v>0</v>
      </c>
      <c r="AD502" s="49"/>
      <c r="AE502" s="49"/>
      <c r="AF502" s="49"/>
      <c r="AG502" s="49"/>
      <c r="AH502" s="49"/>
      <c r="AI502" s="49"/>
      <c r="AJ502" s="49"/>
      <c r="AK502" s="49"/>
      <c r="AL502" s="49"/>
      <c r="AM502" s="49"/>
      <c r="AN502" s="49"/>
      <c r="AO502" s="49"/>
      <c r="AP502" s="49"/>
      <c r="AQ502" s="49"/>
      <c r="AR502" s="49"/>
      <c r="AS502" s="49"/>
      <c r="AT502" s="49"/>
      <c r="AU502" s="49"/>
      <c r="AV502" s="49"/>
      <c r="AW502" s="49"/>
      <c r="AX502" s="49"/>
      <c r="AY502" s="49"/>
      <c r="AZ502" s="73">
        <f t="shared" si="115"/>
        <v>0</v>
      </c>
    </row>
    <row r="503" spans="1:53" ht="20.100000000000001" customHeight="1">
      <c r="A503" s="68"/>
      <c r="B503" s="69"/>
      <c r="C503" s="240" t="s">
        <v>697</v>
      </c>
      <c r="D503" s="240"/>
      <c r="E503" s="241"/>
      <c r="F503" s="70"/>
      <c r="G503" s="71"/>
      <c r="H503" s="71"/>
      <c r="I503" s="71"/>
      <c r="J503" s="240" t="s">
        <v>404</v>
      </c>
      <c r="K503" s="241"/>
      <c r="L503" s="49">
        <v>4800000</v>
      </c>
      <c r="M503" s="49">
        <v>0</v>
      </c>
      <c r="N503" s="49"/>
      <c r="O503" s="49"/>
      <c r="P503" s="49"/>
      <c r="Q503" s="49"/>
      <c r="R503" s="72"/>
      <c r="S503" s="49"/>
      <c r="T503" s="49">
        <v>0</v>
      </c>
      <c r="U503" s="49">
        <f>T503+M503</f>
        <v>0</v>
      </c>
      <c r="V503" s="49">
        <f>T503+S503</f>
        <v>0</v>
      </c>
      <c r="W503" s="49"/>
      <c r="X503" s="49"/>
      <c r="Y503" s="49"/>
      <c r="Z503" s="49"/>
      <c r="AA503" s="49">
        <v>4800000</v>
      </c>
      <c r="AB503" s="49">
        <v>4800000</v>
      </c>
      <c r="AC503" s="49">
        <f t="shared" si="117"/>
        <v>0</v>
      </c>
      <c r="AD503" s="49">
        <f>AA503+T503+M503</f>
        <v>4800000</v>
      </c>
      <c r="AE503" s="49"/>
      <c r="AF503" s="49"/>
      <c r="AG503" s="49">
        <v>4800000</v>
      </c>
      <c r="AH503" s="49"/>
      <c r="AI503" s="49"/>
      <c r="AJ503" s="49"/>
      <c r="AK503" s="49">
        <f>Z503+Y503+X503+W503+N503+AG503+AE503+AJ503+AI503+AH503</f>
        <v>4800000</v>
      </c>
      <c r="AL503" s="49">
        <f>AK503/AD503*100</f>
        <v>100</v>
      </c>
      <c r="AM503" s="49"/>
      <c r="AN503" s="49"/>
      <c r="AO503" s="49"/>
      <c r="AP503" s="49"/>
      <c r="AQ503" s="49">
        <f>AK503+AM503+AN503+AO503+AP503</f>
        <v>4800000</v>
      </c>
      <c r="AR503" s="49">
        <f>AQ503/AB503*100</f>
        <v>100</v>
      </c>
      <c r="AS503" s="49">
        <f t="shared" si="113"/>
        <v>0</v>
      </c>
      <c r="AT503" s="49">
        <v>3091500</v>
      </c>
      <c r="AU503" s="49">
        <f>AT503+U503</f>
        <v>3091500</v>
      </c>
      <c r="AV503" s="49">
        <f>AK503</f>
        <v>4800000</v>
      </c>
      <c r="AW503" s="72">
        <f>AV503/AU503*100</f>
        <v>155.26443474041727</v>
      </c>
      <c r="AX503" s="49">
        <f>AU503-AV503</f>
        <v>-1708500</v>
      </c>
      <c r="AY503" s="49">
        <f t="shared" si="114"/>
        <v>0</v>
      </c>
      <c r="AZ503" s="73">
        <f t="shared" si="115"/>
        <v>4800000</v>
      </c>
    </row>
    <row r="504" spans="1:53" ht="20.100000000000001" customHeight="1">
      <c r="A504" s="62">
        <v>32</v>
      </c>
      <c r="B504" s="63"/>
      <c r="C504" s="242" t="s">
        <v>698</v>
      </c>
      <c r="D504" s="242"/>
      <c r="E504" s="243"/>
      <c r="F504" s="64"/>
      <c r="G504" s="244" t="s">
        <v>699</v>
      </c>
      <c r="H504" s="244"/>
      <c r="I504" s="244"/>
      <c r="J504" s="244"/>
      <c r="K504" s="245"/>
      <c r="L504" s="65">
        <f>SUM(L507:L528)</f>
        <v>65500000</v>
      </c>
      <c r="M504" s="65">
        <f>SUM(M507:M528)</f>
        <v>0</v>
      </c>
      <c r="N504" s="65">
        <f>SUM(N507:N528)</f>
        <v>0</v>
      </c>
      <c r="O504" s="65">
        <f>SUM(O507:O528)</f>
        <v>0</v>
      </c>
      <c r="P504" s="65">
        <f>SUM(P507:P528)</f>
        <v>0</v>
      </c>
      <c r="Q504" s="65">
        <f>SUM(N504:P504)</f>
        <v>0</v>
      </c>
      <c r="R504" s="66"/>
      <c r="S504" s="65">
        <f>M504-Q504</f>
        <v>0</v>
      </c>
      <c r="T504" s="65">
        <f>SUM(T507:T528)</f>
        <v>65500000</v>
      </c>
      <c r="U504" s="65">
        <f>T504+M504</f>
        <v>65500000</v>
      </c>
      <c r="V504" s="65">
        <f>T504+S504</f>
        <v>65500000</v>
      </c>
      <c r="W504" s="65">
        <f>SUM(W507:W528)</f>
        <v>65449850</v>
      </c>
      <c r="X504" s="65">
        <f>SUM(X507:X528)</f>
        <v>0</v>
      </c>
      <c r="Y504" s="65">
        <f>SUM(Y507:Y528)</f>
        <v>0</v>
      </c>
      <c r="Z504" s="65"/>
      <c r="AA504" s="65">
        <f>SUM(AA507:AA528)</f>
        <v>0</v>
      </c>
      <c r="AB504" s="65">
        <f>SUM(AB507:AB528)</f>
        <v>65500000</v>
      </c>
      <c r="AC504" s="65">
        <f t="shared" si="117"/>
        <v>0</v>
      </c>
      <c r="AD504" s="65">
        <f>AA504+T504+M504</f>
        <v>65500000</v>
      </c>
      <c r="AE504" s="65">
        <f t="shared" ref="AE504:AK504" si="118">SUM(AE507:AE528)</f>
        <v>0</v>
      </c>
      <c r="AF504" s="65">
        <f t="shared" si="118"/>
        <v>0</v>
      </c>
      <c r="AG504" s="65">
        <f t="shared" si="118"/>
        <v>0</v>
      </c>
      <c r="AH504" s="65">
        <f t="shared" si="118"/>
        <v>0</v>
      </c>
      <c r="AI504" s="65">
        <f t="shared" si="118"/>
        <v>0</v>
      </c>
      <c r="AJ504" s="65">
        <f t="shared" si="118"/>
        <v>0</v>
      </c>
      <c r="AK504" s="65">
        <f t="shared" si="118"/>
        <v>65449850</v>
      </c>
      <c r="AL504" s="65">
        <f>AK504/AB504*100</f>
        <v>99.923435114503818</v>
      </c>
      <c r="AM504" s="65">
        <f>SUM(AM507:AM528)</f>
        <v>0</v>
      </c>
      <c r="AN504" s="65">
        <f>SUM(AN507:AN528)</f>
        <v>0</v>
      </c>
      <c r="AO504" s="65">
        <f>SUM(AO507:AO528)</f>
        <v>0</v>
      </c>
      <c r="AP504" s="65">
        <f>SUM(AP507:AP528)</f>
        <v>0</v>
      </c>
      <c r="AQ504" s="65">
        <f>AK504+AM504+AN504+AO504+AP504</f>
        <v>65449850</v>
      </c>
      <c r="AR504" s="65">
        <f>AQ504/AB504*100</f>
        <v>99.923435114503818</v>
      </c>
      <c r="AS504" s="65">
        <f>AB504-AQ504</f>
        <v>50150</v>
      </c>
      <c r="AT504" s="65">
        <f>SUM(AT507:AT513)</f>
        <v>12366000</v>
      </c>
      <c r="AU504" s="65">
        <f>AT504+U504</f>
        <v>77866000</v>
      </c>
      <c r="AV504" s="65">
        <f>AK504</f>
        <v>65449850</v>
      </c>
      <c r="AW504" s="66">
        <f>AV504/AU504*100</f>
        <v>84.054465363573314</v>
      </c>
      <c r="AX504" s="65">
        <f>AU504-AV504</f>
        <v>12416150</v>
      </c>
      <c r="AY504" s="65">
        <f>AS504/AB504*100</f>
        <v>7.6564885496183205E-2</v>
      </c>
      <c r="AZ504" s="67">
        <f t="shared" si="115"/>
        <v>65449850</v>
      </c>
      <c r="BA504" s="29">
        <f>AS504</f>
        <v>50150</v>
      </c>
    </row>
    <row r="505" spans="1:53" ht="20.100000000000001" customHeight="1">
      <c r="A505" s="68"/>
      <c r="B505" s="69"/>
      <c r="C505" s="240" t="s">
        <v>700</v>
      </c>
      <c r="D505" s="240"/>
      <c r="E505" s="241"/>
      <c r="F505" s="70"/>
      <c r="G505" s="71"/>
      <c r="H505" s="240" t="s">
        <v>10</v>
      </c>
      <c r="I505" s="240"/>
      <c r="J505" s="240"/>
      <c r="K505" s="241"/>
      <c r="L505" s="49"/>
      <c r="M505" s="49"/>
      <c r="N505" s="49"/>
      <c r="O505" s="49"/>
      <c r="P505" s="49"/>
      <c r="Q505" s="49"/>
      <c r="R505" s="72"/>
      <c r="S505" s="49"/>
      <c r="T505" s="49"/>
      <c r="U505" s="49"/>
      <c r="V505" s="49"/>
      <c r="W505" s="49"/>
      <c r="X505" s="49"/>
      <c r="Y505" s="49"/>
      <c r="Z505" s="49"/>
      <c r="AA505" s="49"/>
      <c r="AB505" s="49"/>
      <c r="AC505" s="49">
        <f t="shared" si="117"/>
        <v>0</v>
      </c>
      <c r="AD505" s="49"/>
      <c r="AE505" s="49"/>
      <c r="AF505" s="49"/>
      <c r="AG505" s="49"/>
      <c r="AH505" s="49"/>
      <c r="AI505" s="49"/>
      <c r="AJ505" s="49"/>
      <c r="AK505" s="49"/>
      <c r="AL505" s="49"/>
      <c r="AM505" s="49"/>
      <c r="AN505" s="49"/>
      <c r="AO505" s="49"/>
      <c r="AP505" s="49"/>
      <c r="AQ505" s="49"/>
      <c r="AR505" s="49"/>
      <c r="AS505" s="49"/>
      <c r="AT505" s="49"/>
      <c r="AU505" s="49"/>
      <c r="AV505" s="49"/>
      <c r="AW505" s="49"/>
      <c r="AX505" s="49"/>
      <c r="AY505" s="49"/>
      <c r="AZ505" s="73">
        <f t="shared" si="115"/>
        <v>0</v>
      </c>
    </row>
    <row r="506" spans="1:53" ht="20.100000000000001" customHeight="1">
      <c r="A506" s="68"/>
      <c r="B506" s="69"/>
      <c r="C506" s="240" t="s">
        <v>701</v>
      </c>
      <c r="D506" s="240"/>
      <c r="E506" s="241"/>
      <c r="F506" s="70"/>
      <c r="G506" s="71"/>
      <c r="H506" s="71"/>
      <c r="I506" s="240" t="s">
        <v>177</v>
      </c>
      <c r="J506" s="240"/>
      <c r="K506" s="241"/>
      <c r="L506" s="49"/>
      <c r="M506" s="49"/>
      <c r="N506" s="49"/>
      <c r="O506" s="49"/>
      <c r="P506" s="49"/>
      <c r="Q506" s="49"/>
      <c r="R506" s="72"/>
      <c r="S506" s="49"/>
      <c r="T506" s="49"/>
      <c r="U506" s="49"/>
      <c r="V506" s="49"/>
      <c r="W506" s="49"/>
      <c r="X506" s="49"/>
      <c r="Y506" s="49"/>
      <c r="Z506" s="49"/>
      <c r="AA506" s="49"/>
      <c r="AB506" s="49"/>
      <c r="AC506" s="49">
        <f t="shared" si="117"/>
        <v>0</v>
      </c>
      <c r="AD506" s="49"/>
      <c r="AE506" s="49"/>
      <c r="AF506" s="49"/>
      <c r="AG506" s="49"/>
      <c r="AH506" s="49"/>
      <c r="AI506" s="49"/>
      <c r="AJ506" s="49"/>
      <c r="AK506" s="49"/>
      <c r="AL506" s="49"/>
      <c r="AM506" s="49"/>
      <c r="AN506" s="49"/>
      <c r="AO506" s="49"/>
      <c r="AP506" s="49"/>
      <c r="AQ506" s="49"/>
      <c r="AR506" s="49"/>
      <c r="AS506" s="49"/>
      <c r="AT506" s="49"/>
      <c r="AU506" s="49"/>
      <c r="AV506" s="49"/>
      <c r="AW506" s="49"/>
      <c r="AX506" s="49"/>
      <c r="AY506" s="49"/>
      <c r="AZ506" s="73">
        <f t="shared" si="115"/>
        <v>0</v>
      </c>
    </row>
    <row r="507" spans="1:53" ht="20.100000000000001" customHeight="1">
      <c r="A507" s="68"/>
      <c r="B507" s="69"/>
      <c r="C507" s="240" t="s">
        <v>702</v>
      </c>
      <c r="D507" s="240"/>
      <c r="E507" s="241"/>
      <c r="F507" s="70"/>
      <c r="G507" s="71"/>
      <c r="H507" s="71"/>
      <c r="I507" s="71"/>
      <c r="J507" s="240" t="s">
        <v>283</v>
      </c>
      <c r="K507" s="241"/>
      <c r="L507" s="49">
        <v>6960000</v>
      </c>
      <c r="M507" s="49">
        <v>0</v>
      </c>
      <c r="N507" s="49"/>
      <c r="O507" s="49"/>
      <c r="P507" s="49"/>
      <c r="Q507" s="49">
        <f>SUM(N507:P507)</f>
        <v>0</v>
      </c>
      <c r="R507" s="72"/>
      <c r="S507" s="49">
        <f>M507-Q507</f>
        <v>0</v>
      </c>
      <c r="T507" s="49">
        <v>6960000</v>
      </c>
      <c r="U507" s="49">
        <f>T507+M507</f>
        <v>6960000</v>
      </c>
      <c r="V507" s="49">
        <f>T507+S507</f>
        <v>6960000</v>
      </c>
      <c r="W507" s="49">
        <f>3480000+3480000</f>
        <v>6960000</v>
      </c>
      <c r="X507" s="49"/>
      <c r="Y507" s="49"/>
      <c r="Z507" s="49"/>
      <c r="AA507" s="49">
        <v>0</v>
      </c>
      <c r="AB507" s="49">
        <v>6960000</v>
      </c>
      <c r="AC507" s="49">
        <f t="shared" si="117"/>
        <v>0</v>
      </c>
      <c r="AD507" s="49">
        <f>AA507+T507+M507</f>
        <v>6960000</v>
      </c>
      <c r="AE507" s="49"/>
      <c r="AF507" s="49"/>
      <c r="AG507" s="49">
        <v>0</v>
      </c>
      <c r="AH507" s="49"/>
      <c r="AI507" s="49">
        <v>0</v>
      </c>
      <c r="AJ507" s="49">
        <v>0</v>
      </c>
      <c r="AK507" s="49">
        <f>Z507+Y507+X507+W507+N507+AG507+AE507+AJ507+AI507+AH507</f>
        <v>6960000</v>
      </c>
      <c r="AL507" s="49">
        <f>AK507/AD507*100</f>
        <v>100</v>
      </c>
      <c r="AM507" s="49"/>
      <c r="AN507" s="49"/>
      <c r="AO507" s="49"/>
      <c r="AP507" s="49"/>
      <c r="AQ507" s="49">
        <f>AK507+AM507+AN507+AO507+AP507</f>
        <v>6960000</v>
      </c>
      <c r="AR507" s="49">
        <f>AQ507/AB507*100</f>
        <v>100</v>
      </c>
      <c r="AS507" s="49">
        <f t="shared" si="113"/>
        <v>0</v>
      </c>
      <c r="AT507" s="49">
        <v>3091500</v>
      </c>
      <c r="AU507" s="49">
        <f>AT507+U507</f>
        <v>10051500</v>
      </c>
      <c r="AV507" s="49">
        <f>AK507</f>
        <v>6960000</v>
      </c>
      <c r="AW507" s="72">
        <f>AV507/AU507*100</f>
        <v>69.243396507983874</v>
      </c>
      <c r="AX507" s="49">
        <f>AU507-AV507</f>
        <v>3091500</v>
      </c>
      <c r="AY507" s="49">
        <f t="shared" si="114"/>
        <v>0</v>
      </c>
      <c r="AZ507" s="73">
        <f t="shared" si="115"/>
        <v>6960000</v>
      </c>
    </row>
    <row r="508" spans="1:53" ht="20.100000000000001" customHeight="1">
      <c r="A508" s="68"/>
      <c r="B508" s="69"/>
      <c r="C508" s="240" t="s">
        <v>703</v>
      </c>
      <c r="D508" s="240"/>
      <c r="E508" s="241"/>
      <c r="F508" s="70"/>
      <c r="G508" s="71"/>
      <c r="H508" s="240" t="s">
        <v>143</v>
      </c>
      <c r="I508" s="240"/>
      <c r="J508" s="240"/>
      <c r="K508" s="241"/>
      <c r="L508" s="49"/>
      <c r="M508" s="49"/>
      <c r="N508" s="49"/>
      <c r="O508" s="49"/>
      <c r="P508" s="49"/>
      <c r="Q508" s="49"/>
      <c r="R508" s="72"/>
      <c r="S508" s="49"/>
      <c r="T508" s="49"/>
      <c r="U508" s="49"/>
      <c r="V508" s="49"/>
      <c r="W508" s="49"/>
      <c r="X508" s="49"/>
      <c r="Y508" s="49"/>
      <c r="Z508" s="49"/>
      <c r="AA508" s="49"/>
      <c r="AB508" s="49"/>
      <c r="AC508" s="49">
        <f t="shared" si="117"/>
        <v>0</v>
      </c>
      <c r="AD508" s="49"/>
      <c r="AE508" s="49"/>
      <c r="AF508" s="49"/>
      <c r="AG508" s="49"/>
      <c r="AH508" s="49"/>
      <c r="AI508" s="49"/>
      <c r="AJ508" s="49"/>
      <c r="AK508" s="49"/>
      <c r="AL508" s="49"/>
      <c r="AM508" s="49"/>
      <c r="AN508" s="49"/>
      <c r="AO508" s="49"/>
      <c r="AP508" s="49"/>
      <c r="AQ508" s="49"/>
      <c r="AR508" s="49"/>
      <c r="AS508" s="49"/>
      <c r="AT508" s="49"/>
      <c r="AU508" s="49"/>
      <c r="AV508" s="49"/>
      <c r="AW508" s="49"/>
      <c r="AX508" s="49"/>
      <c r="AY508" s="49"/>
      <c r="AZ508" s="73">
        <f t="shared" si="115"/>
        <v>0</v>
      </c>
    </row>
    <row r="509" spans="1:53" ht="20.100000000000001" customHeight="1">
      <c r="A509" s="68"/>
      <c r="B509" s="69"/>
      <c r="C509" s="240" t="s">
        <v>704</v>
      </c>
      <c r="D509" s="240"/>
      <c r="E509" s="241"/>
      <c r="F509" s="70"/>
      <c r="G509" s="71"/>
      <c r="H509" s="71"/>
      <c r="I509" s="240" t="s">
        <v>145</v>
      </c>
      <c r="J509" s="240"/>
      <c r="K509" s="241"/>
      <c r="L509" s="49"/>
      <c r="M509" s="49"/>
      <c r="N509" s="49"/>
      <c r="O509" s="49"/>
      <c r="P509" s="49"/>
      <c r="Q509" s="49"/>
      <c r="R509" s="72"/>
      <c r="S509" s="49"/>
      <c r="T509" s="49"/>
      <c r="U509" s="49"/>
      <c r="V509" s="49"/>
      <c r="W509" s="49"/>
      <c r="X509" s="49"/>
      <c r="Y509" s="49"/>
      <c r="Z509" s="49"/>
      <c r="AA509" s="49"/>
      <c r="AB509" s="49"/>
      <c r="AC509" s="49">
        <f t="shared" si="117"/>
        <v>0</v>
      </c>
      <c r="AD509" s="49"/>
      <c r="AE509" s="49"/>
      <c r="AF509" s="49"/>
      <c r="AG509" s="49"/>
      <c r="AH509" s="49"/>
      <c r="AI509" s="49"/>
      <c r="AJ509" s="49"/>
      <c r="AK509" s="49"/>
      <c r="AL509" s="49"/>
      <c r="AM509" s="49"/>
      <c r="AN509" s="49"/>
      <c r="AO509" s="49"/>
      <c r="AP509" s="49"/>
      <c r="AQ509" s="49"/>
      <c r="AR509" s="49"/>
      <c r="AS509" s="49"/>
      <c r="AT509" s="49"/>
      <c r="AU509" s="49"/>
      <c r="AV509" s="49"/>
      <c r="AW509" s="49"/>
      <c r="AX509" s="49"/>
      <c r="AY509" s="49"/>
      <c r="AZ509" s="73">
        <f t="shared" si="115"/>
        <v>0</v>
      </c>
    </row>
    <row r="510" spans="1:53" ht="20.100000000000001" customHeight="1">
      <c r="A510" s="68"/>
      <c r="B510" s="69"/>
      <c r="C510" s="240" t="s">
        <v>705</v>
      </c>
      <c r="D510" s="240"/>
      <c r="E510" s="241"/>
      <c r="F510" s="70"/>
      <c r="G510" s="71"/>
      <c r="H510" s="71"/>
      <c r="I510" s="71"/>
      <c r="J510" s="240" t="s">
        <v>147</v>
      </c>
      <c r="K510" s="241"/>
      <c r="L510" s="49">
        <v>552000</v>
      </c>
      <c r="M510" s="49">
        <v>0</v>
      </c>
      <c r="N510" s="49"/>
      <c r="O510" s="49"/>
      <c r="P510" s="49"/>
      <c r="Q510" s="49">
        <f>SUM(N510:P510)</f>
        <v>0</v>
      </c>
      <c r="R510" s="72"/>
      <c r="S510" s="49">
        <f>M510-Q510</f>
        <v>0</v>
      </c>
      <c r="T510" s="49">
        <v>552000</v>
      </c>
      <c r="U510" s="49">
        <f>T510+M510</f>
        <v>552000</v>
      </c>
      <c r="V510" s="49">
        <f>T510+S510</f>
        <v>552000</v>
      </c>
      <c r="W510" s="49">
        <v>552000</v>
      </c>
      <c r="X510" s="49"/>
      <c r="Y510" s="49"/>
      <c r="Z510" s="49"/>
      <c r="AA510" s="49">
        <v>0</v>
      </c>
      <c r="AB510" s="49">
        <v>552000</v>
      </c>
      <c r="AC510" s="49">
        <f t="shared" si="117"/>
        <v>0</v>
      </c>
      <c r="AD510" s="49">
        <f>AA510+T510+M510</f>
        <v>552000</v>
      </c>
      <c r="AE510" s="49"/>
      <c r="AF510" s="49"/>
      <c r="AG510" s="49">
        <v>0</v>
      </c>
      <c r="AH510" s="49"/>
      <c r="AI510" s="49">
        <v>0</v>
      </c>
      <c r="AJ510" s="49">
        <v>0</v>
      </c>
      <c r="AK510" s="49">
        <f>Z510+Y510+X510+W510+N510+AG510+AE510+AJ510+AI510+AH510</f>
        <v>552000</v>
      </c>
      <c r="AL510" s="49">
        <f>AK510/AD510*100</f>
        <v>100</v>
      </c>
      <c r="AM510" s="49"/>
      <c r="AN510" s="49"/>
      <c r="AO510" s="49"/>
      <c r="AP510" s="49"/>
      <c r="AQ510" s="49">
        <f>AK510+AM510+AN510+AO510+AP510</f>
        <v>552000</v>
      </c>
      <c r="AR510" s="49">
        <f>AQ510/AB510*100</f>
        <v>100</v>
      </c>
      <c r="AS510" s="49">
        <f t="shared" si="113"/>
        <v>0</v>
      </c>
      <c r="AT510" s="49">
        <v>3091500</v>
      </c>
      <c r="AU510" s="49">
        <f>AT510+U510</f>
        <v>3643500</v>
      </c>
      <c r="AV510" s="49">
        <f>AK510</f>
        <v>552000</v>
      </c>
      <c r="AW510" s="72">
        <f>AV510/AU510*100</f>
        <v>15.150267599835324</v>
      </c>
      <c r="AX510" s="49">
        <f>AU510-AV510</f>
        <v>3091500</v>
      </c>
      <c r="AY510" s="49">
        <f t="shared" si="114"/>
        <v>0</v>
      </c>
      <c r="AZ510" s="73">
        <f t="shared" si="115"/>
        <v>552000</v>
      </c>
    </row>
    <row r="511" spans="1:53" ht="20.100000000000001" customHeight="1">
      <c r="A511" s="68"/>
      <c r="B511" s="69"/>
      <c r="C511" s="240" t="s">
        <v>706</v>
      </c>
      <c r="D511" s="240"/>
      <c r="E511" s="241"/>
      <c r="F511" s="70"/>
      <c r="G511" s="71"/>
      <c r="H511" s="71"/>
      <c r="I511" s="240" t="s">
        <v>163</v>
      </c>
      <c r="J511" s="240"/>
      <c r="K511" s="241"/>
      <c r="L511" s="49"/>
      <c r="M511" s="49"/>
      <c r="N511" s="49"/>
      <c r="O511" s="49"/>
      <c r="P511" s="49"/>
      <c r="Q511" s="49"/>
      <c r="R511" s="72"/>
      <c r="S511" s="49"/>
      <c r="T511" s="49"/>
      <c r="U511" s="49"/>
      <c r="V511" s="49"/>
      <c r="W511" s="49"/>
      <c r="X511" s="49"/>
      <c r="Y511" s="49"/>
      <c r="Z511" s="49"/>
      <c r="AA511" s="49"/>
      <c r="AB511" s="49"/>
      <c r="AC511" s="49">
        <f t="shared" si="117"/>
        <v>0</v>
      </c>
      <c r="AD511" s="49"/>
      <c r="AE511" s="49"/>
      <c r="AF511" s="49"/>
      <c r="AG511" s="49"/>
      <c r="AH511" s="49"/>
      <c r="AI511" s="49"/>
      <c r="AJ511" s="49"/>
      <c r="AK511" s="49"/>
      <c r="AL511" s="49"/>
      <c r="AM511" s="49"/>
      <c r="AN511" s="49"/>
      <c r="AO511" s="49"/>
      <c r="AP511" s="49"/>
      <c r="AQ511" s="49"/>
      <c r="AR511" s="49"/>
      <c r="AS511" s="49"/>
      <c r="AT511" s="49"/>
      <c r="AU511" s="49"/>
      <c r="AV511" s="49"/>
      <c r="AW511" s="49"/>
      <c r="AX511" s="49"/>
      <c r="AY511" s="49"/>
      <c r="AZ511" s="73">
        <f t="shared" si="115"/>
        <v>0</v>
      </c>
    </row>
    <row r="512" spans="1:53" ht="20.100000000000001" customHeight="1">
      <c r="A512" s="68"/>
      <c r="B512" s="69"/>
      <c r="C512" s="240" t="s">
        <v>707</v>
      </c>
      <c r="D512" s="240"/>
      <c r="E512" s="241"/>
      <c r="F512" s="70"/>
      <c r="G512" s="71"/>
      <c r="H512" s="71"/>
      <c r="I512" s="71"/>
      <c r="J512" s="240" t="s">
        <v>349</v>
      </c>
      <c r="K512" s="241"/>
      <c r="L512" s="49">
        <v>1900000</v>
      </c>
      <c r="M512" s="49">
        <v>0</v>
      </c>
      <c r="N512" s="49"/>
      <c r="O512" s="49"/>
      <c r="P512" s="49"/>
      <c r="Q512" s="49"/>
      <c r="R512" s="72"/>
      <c r="S512" s="49"/>
      <c r="T512" s="49">
        <v>1900000</v>
      </c>
      <c r="U512" s="49">
        <f>T512+M512</f>
        <v>1900000</v>
      </c>
      <c r="V512" s="49">
        <f>T512+S512</f>
        <v>1900000</v>
      </c>
      <c r="W512" s="49">
        <v>1900000</v>
      </c>
      <c r="X512" s="49"/>
      <c r="Y512" s="49"/>
      <c r="Z512" s="49"/>
      <c r="AA512" s="49">
        <v>0</v>
      </c>
      <c r="AB512" s="49">
        <v>1900000</v>
      </c>
      <c r="AC512" s="49">
        <f t="shared" si="117"/>
        <v>0</v>
      </c>
      <c r="AD512" s="49">
        <f>AA512+T512+M512</f>
        <v>1900000</v>
      </c>
      <c r="AE512" s="49"/>
      <c r="AF512" s="49"/>
      <c r="AG512" s="49">
        <v>0</v>
      </c>
      <c r="AH512" s="49"/>
      <c r="AI512" s="49">
        <v>0</v>
      </c>
      <c r="AJ512" s="49">
        <v>0</v>
      </c>
      <c r="AK512" s="49">
        <f>Z512+Y512+X512+W512+N512+AG512+AE512+AJ512+AI512+AH512</f>
        <v>1900000</v>
      </c>
      <c r="AL512" s="49">
        <f>AK512/AD512*100</f>
        <v>100</v>
      </c>
      <c r="AM512" s="49"/>
      <c r="AN512" s="49"/>
      <c r="AO512" s="49"/>
      <c r="AP512" s="49"/>
      <c r="AQ512" s="49">
        <f>AK512+AM512+AN512+AO512+AP512</f>
        <v>1900000</v>
      </c>
      <c r="AR512" s="49">
        <f>AQ512/AB512*100</f>
        <v>100</v>
      </c>
      <c r="AS512" s="49">
        <f t="shared" si="113"/>
        <v>0</v>
      </c>
      <c r="AT512" s="49">
        <v>3091500</v>
      </c>
      <c r="AU512" s="49">
        <f>AT512+U512</f>
        <v>4991500</v>
      </c>
      <c r="AV512" s="49">
        <f>AK512</f>
        <v>1900000</v>
      </c>
      <c r="AW512" s="72">
        <f>AV512/AU512*100</f>
        <v>38.064710007011918</v>
      </c>
      <c r="AX512" s="49">
        <f>AU512-AV512</f>
        <v>3091500</v>
      </c>
      <c r="AY512" s="49">
        <f t="shared" si="114"/>
        <v>0</v>
      </c>
      <c r="AZ512" s="73">
        <f t="shared" si="115"/>
        <v>1900000</v>
      </c>
    </row>
    <row r="513" spans="1:52" ht="20.100000000000001" customHeight="1">
      <c r="A513" s="68"/>
      <c r="B513" s="69"/>
      <c r="C513" s="240" t="s">
        <v>708</v>
      </c>
      <c r="D513" s="240"/>
      <c r="E513" s="241"/>
      <c r="F513" s="70"/>
      <c r="G513" s="71"/>
      <c r="H513" s="71"/>
      <c r="I513" s="71"/>
      <c r="J513" s="240" t="s">
        <v>352</v>
      </c>
      <c r="K513" s="241"/>
      <c r="L513" s="49">
        <v>10600000</v>
      </c>
      <c r="M513" s="49">
        <v>0</v>
      </c>
      <c r="N513" s="49"/>
      <c r="O513" s="49"/>
      <c r="P513" s="49"/>
      <c r="Q513" s="49">
        <f>SUM(N513:P513)</f>
        <v>0</v>
      </c>
      <c r="R513" s="72"/>
      <c r="S513" s="49">
        <f>M513-Q513</f>
        <v>0</v>
      </c>
      <c r="T513" s="49">
        <v>10600000</v>
      </c>
      <c r="U513" s="49">
        <f>T513+M513</f>
        <v>10600000</v>
      </c>
      <c r="V513" s="49">
        <f>T513+S513</f>
        <v>10600000</v>
      </c>
      <c r="W513" s="49">
        <v>10600000</v>
      </c>
      <c r="X513" s="49"/>
      <c r="Y513" s="49"/>
      <c r="Z513" s="49"/>
      <c r="AA513" s="49">
        <v>0</v>
      </c>
      <c r="AB513" s="49">
        <v>10600000</v>
      </c>
      <c r="AC513" s="49">
        <f t="shared" si="117"/>
        <v>0</v>
      </c>
      <c r="AD513" s="49">
        <f>AA513+T513+M513</f>
        <v>10600000</v>
      </c>
      <c r="AE513" s="49"/>
      <c r="AF513" s="49"/>
      <c r="AG513" s="49">
        <v>0</v>
      </c>
      <c r="AH513" s="49"/>
      <c r="AI513" s="49">
        <v>0</v>
      </c>
      <c r="AJ513" s="49">
        <v>0</v>
      </c>
      <c r="AK513" s="49">
        <f>Z513+Y513+X513+W513+N513+AG513+AE513+AJ513+AI513+AH513</f>
        <v>10600000</v>
      </c>
      <c r="AL513" s="49">
        <f>AK513/AD513*100</f>
        <v>100</v>
      </c>
      <c r="AM513" s="49"/>
      <c r="AN513" s="49"/>
      <c r="AO513" s="49"/>
      <c r="AP513" s="49"/>
      <c r="AQ513" s="49">
        <f>AK513+AM513+AN513+AO513+AP513</f>
        <v>10600000</v>
      </c>
      <c r="AR513" s="49">
        <f>AQ513/AB513*100</f>
        <v>100</v>
      </c>
      <c r="AS513" s="49">
        <f t="shared" si="113"/>
        <v>0</v>
      </c>
      <c r="AT513" s="49">
        <v>3091500</v>
      </c>
      <c r="AU513" s="49">
        <f>AT513+U513</f>
        <v>13691500</v>
      </c>
      <c r="AV513" s="49">
        <f>AK513</f>
        <v>10600000</v>
      </c>
      <c r="AW513" s="72">
        <f>AV513/AU513*100</f>
        <v>77.420297264726287</v>
      </c>
      <c r="AX513" s="49">
        <f>AU513-AV513</f>
        <v>3091500</v>
      </c>
      <c r="AY513" s="49">
        <f t="shared" si="114"/>
        <v>0</v>
      </c>
      <c r="AZ513" s="73">
        <f t="shared" si="115"/>
        <v>10600000</v>
      </c>
    </row>
    <row r="514" spans="1:52" ht="20.100000000000001" customHeight="1">
      <c r="A514" s="68"/>
      <c r="B514" s="69"/>
      <c r="C514" s="240" t="s">
        <v>709</v>
      </c>
      <c r="D514" s="240"/>
      <c r="E514" s="241"/>
      <c r="F514" s="70"/>
      <c r="G514" s="71"/>
      <c r="H514" s="71"/>
      <c r="I514" s="240" t="s">
        <v>151</v>
      </c>
      <c r="J514" s="240"/>
      <c r="K514" s="241"/>
      <c r="L514" s="49"/>
      <c r="M514" s="49"/>
      <c r="N514" s="49"/>
      <c r="O514" s="49"/>
      <c r="P514" s="49"/>
      <c r="Q514" s="49"/>
      <c r="R514" s="72"/>
      <c r="S514" s="49"/>
      <c r="T514" s="49"/>
      <c r="U514" s="49"/>
      <c r="V514" s="49"/>
      <c r="W514" s="49"/>
      <c r="X514" s="49"/>
      <c r="Y514" s="49"/>
      <c r="Z514" s="49"/>
      <c r="AA514" s="49"/>
      <c r="AB514" s="49"/>
      <c r="AC514" s="49">
        <f t="shared" si="117"/>
        <v>0</v>
      </c>
      <c r="AD514" s="49"/>
      <c r="AE514" s="49"/>
      <c r="AF514" s="49"/>
      <c r="AG514" s="49"/>
      <c r="AH514" s="49"/>
      <c r="AI514" s="49"/>
      <c r="AJ514" s="49"/>
      <c r="AK514" s="49"/>
      <c r="AL514" s="49"/>
      <c r="AM514" s="49"/>
      <c r="AN514" s="49"/>
      <c r="AO514" s="49"/>
      <c r="AP514" s="49"/>
      <c r="AQ514" s="49"/>
      <c r="AR514" s="49"/>
      <c r="AS514" s="49"/>
      <c r="AT514" s="49"/>
      <c r="AU514" s="49"/>
      <c r="AV514" s="49"/>
      <c r="AW514" s="49"/>
      <c r="AX514" s="49"/>
      <c r="AY514" s="49"/>
      <c r="AZ514" s="73">
        <f t="shared" si="115"/>
        <v>0</v>
      </c>
    </row>
    <row r="515" spans="1:52" ht="20.100000000000001" customHeight="1">
      <c r="A515" s="68"/>
      <c r="B515" s="69"/>
      <c r="C515" s="240" t="s">
        <v>710</v>
      </c>
      <c r="D515" s="240"/>
      <c r="E515" s="241"/>
      <c r="F515" s="70"/>
      <c r="G515" s="71"/>
      <c r="H515" s="71"/>
      <c r="I515" s="71"/>
      <c r="J515" s="240" t="s">
        <v>155</v>
      </c>
      <c r="K515" s="241"/>
      <c r="L515" s="49">
        <v>1168100</v>
      </c>
      <c r="M515" s="49">
        <v>0</v>
      </c>
      <c r="N515" s="49"/>
      <c r="O515" s="49"/>
      <c r="P515" s="49"/>
      <c r="Q515" s="49">
        <f>SUM(N515:P515)</f>
        <v>0</v>
      </c>
      <c r="R515" s="72"/>
      <c r="S515" s="49">
        <f>M515-Q515</f>
        <v>0</v>
      </c>
      <c r="T515" s="49">
        <v>1168100</v>
      </c>
      <c r="U515" s="49">
        <f>T515+M515</f>
        <v>1168100</v>
      </c>
      <c r="V515" s="49">
        <f>T515+S515</f>
        <v>1168100</v>
      </c>
      <c r="W515" s="49">
        <v>1167950</v>
      </c>
      <c r="X515" s="49"/>
      <c r="Y515" s="49"/>
      <c r="Z515" s="49"/>
      <c r="AA515" s="49">
        <v>0</v>
      </c>
      <c r="AB515" s="49">
        <v>1168100</v>
      </c>
      <c r="AC515" s="49">
        <f t="shared" si="117"/>
        <v>0</v>
      </c>
      <c r="AD515" s="49">
        <f>AA515+T515+M515</f>
        <v>1168100</v>
      </c>
      <c r="AE515" s="49"/>
      <c r="AF515" s="49"/>
      <c r="AG515" s="49">
        <v>0</v>
      </c>
      <c r="AH515" s="49"/>
      <c r="AI515" s="49">
        <v>0</v>
      </c>
      <c r="AJ515" s="49">
        <v>0</v>
      </c>
      <c r="AK515" s="49">
        <f>Z515+Y515+X515+W515+N515+AG515+AE515+AJ515+AI515+AH515</f>
        <v>1167950</v>
      </c>
      <c r="AL515" s="49">
        <f>AK515/AD515*100</f>
        <v>99.987158633678618</v>
      </c>
      <c r="AM515" s="49"/>
      <c r="AN515" s="49"/>
      <c r="AO515" s="49"/>
      <c r="AP515" s="49"/>
      <c r="AQ515" s="49">
        <f>AK515+AM515+AN515+AO515+AP515</f>
        <v>1167950</v>
      </c>
      <c r="AR515" s="49">
        <f>AQ515/AB515*100</f>
        <v>99.987158633678618</v>
      </c>
      <c r="AS515" s="49">
        <f t="shared" si="113"/>
        <v>150</v>
      </c>
      <c r="AT515" s="49">
        <v>3091500</v>
      </c>
      <c r="AU515" s="49">
        <f>AT515+U515</f>
        <v>4259600</v>
      </c>
      <c r="AV515" s="49">
        <f>AK515</f>
        <v>1167950</v>
      </c>
      <c r="AW515" s="72">
        <f>AV515/AU515*100</f>
        <v>27.419241243309234</v>
      </c>
      <c r="AX515" s="49">
        <f>AU515-AV515</f>
        <v>3091650</v>
      </c>
      <c r="AY515" s="49">
        <f t="shared" si="114"/>
        <v>1.2841366321376594E-2</v>
      </c>
      <c r="AZ515" s="73">
        <f t="shared" si="115"/>
        <v>1167950</v>
      </c>
    </row>
    <row r="516" spans="1:52" ht="20.100000000000001" customHeight="1">
      <c r="A516" s="68"/>
      <c r="B516" s="69"/>
      <c r="C516" s="240" t="s">
        <v>711</v>
      </c>
      <c r="D516" s="240"/>
      <c r="E516" s="241"/>
      <c r="F516" s="70"/>
      <c r="G516" s="71"/>
      <c r="H516" s="71"/>
      <c r="I516" s="240" t="s">
        <v>712</v>
      </c>
      <c r="J516" s="240"/>
      <c r="K516" s="241"/>
      <c r="L516" s="49"/>
      <c r="M516" s="49"/>
      <c r="N516" s="49"/>
      <c r="O516" s="49"/>
      <c r="P516" s="49"/>
      <c r="Q516" s="49"/>
      <c r="R516" s="72"/>
      <c r="S516" s="49"/>
      <c r="T516" s="49"/>
      <c r="U516" s="49"/>
      <c r="V516" s="49"/>
      <c r="W516" s="49"/>
      <c r="X516" s="49"/>
      <c r="Y516" s="49"/>
      <c r="Z516" s="49"/>
      <c r="AA516" s="49"/>
      <c r="AB516" s="49"/>
      <c r="AC516" s="49">
        <f t="shared" si="117"/>
        <v>0</v>
      </c>
      <c r="AD516" s="49"/>
      <c r="AE516" s="49"/>
      <c r="AF516" s="49"/>
      <c r="AG516" s="49"/>
      <c r="AH516" s="49"/>
      <c r="AI516" s="49"/>
      <c r="AJ516" s="49"/>
      <c r="AK516" s="49"/>
      <c r="AL516" s="49"/>
      <c r="AM516" s="49"/>
      <c r="AN516" s="49"/>
      <c r="AO516" s="49"/>
      <c r="AP516" s="49"/>
      <c r="AQ516" s="49"/>
      <c r="AR516" s="49"/>
      <c r="AS516" s="49"/>
      <c r="AT516" s="49"/>
      <c r="AU516" s="49"/>
      <c r="AV516" s="49"/>
      <c r="AW516" s="49"/>
      <c r="AX516" s="49"/>
      <c r="AY516" s="49"/>
      <c r="AZ516" s="73">
        <f t="shared" si="115"/>
        <v>0</v>
      </c>
    </row>
    <row r="517" spans="1:52" ht="20.100000000000001" customHeight="1">
      <c r="A517" s="68"/>
      <c r="B517" s="69"/>
      <c r="C517" s="240" t="s">
        <v>713</v>
      </c>
      <c r="D517" s="240"/>
      <c r="E517" s="241"/>
      <c r="F517" s="70"/>
      <c r="G517" s="71"/>
      <c r="H517" s="71"/>
      <c r="I517" s="71"/>
      <c r="J517" s="240" t="s">
        <v>714</v>
      </c>
      <c r="K517" s="241"/>
      <c r="L517" s="49">
        <v>587400</v>
      </c>
      <c r="M517" s="49">
        <v>0</v>
      </c>
      <c r="N517" s="49"/>
      <c r="O517" s="49"/>
      <c r="P517" s="49"/>
      <c r="Q517" s="49">
        <f>SUM(N517:P517)</f>
        <v>0</v>
      </c>
      <c r="R517" s="72"/>
      <c r="S517" s="49">
        <f>M517-Q517</f>
        <v>0</v>
      </c>
      <c r="T517" s="49">
        <v>587400</v>
      </c>
      <c r="U517" s="49">
        <f>T517+M517</f>
        <v>587400</v>
      </c>
      <c r="V517" s="49">
        <f>T517+S517</f>
        <v>587400</v>
      </c>
      <c r="W517" s="49">
        <v>587400</v>
      </c>
      <c r="X517" s="49"/>
      <c r="Y517" s="49"/>
      <c r="Z517" s="49"/>
      <c r="AA517" s="49">
        <v>0</v>
      </c>
      <c r="AB517" s="49">
        <v>587400</v>
      </c>
      <c r="AC517" s="49">
        <f t="shared" si="117"/>
        <v>0</v>
      </c>
      <c r="AD517" s="49">
        <f>AA517+T517+M517</f>
        <v>587400</v>
      </c>
      <c r="AE517" s="49"/>
      <c r="AF517" s="49"/>
      <c r="AG517" s="49">
        <v>0</v>
      </c>
      <c r="AH517" s="49"/>
      <c r="AI517" s="49">
        <v>0</v>
      </c>
      <c r="AJ517" s="49">
        <v>0</v>
      </c>
      <c r="AK517" s="49">
        <f>Z517+Y517+X517+W517+N517+AG517+AE517+AJ517+AI517+AH517</f>
        <v>587400</v>
      </c>
      <c r="AL517" s="49">
        <f>AK517/AD517*100</f>
        <v>100</v>
      </c>
      <c r="AM517" s="49"/>
      <c r="AN517" s="49"/>
      <c r="AO517" s="49"/>
      <c r="AP517" s="49"/>
      <c r="AQ517" s="49">
        <f>AK517+AM517+AN517+AO517+AP517</f>
        <v>587400</v>
      </c>
      <c r="AR517" s="49">
        <f>AQ517/AB517*100</f>
        <v>100</v>
      </c>
      <c r="AS517" s="49">
        <f t="shared" si="113"/>
        <v>0</v>
      </c>
      <c r="AT517" s="49">
        <v>3091500</v>
      </c>
      <c r="AU517" s="49">
        <f>AT517+U517</f>
        <v>3678900</v>
      </c>
      <c r="AV517" s="49">
        <f>AK517</f>
        <v>587400</v>
      </c>
      <c r="AW517" s="72">
        <f>AV517/AU517*100</f>
        <v>15.966729185354318</v>
      </c>
      <c r="AX517" s="49">
        <f>AU517-AV517</f>
        <v>3091500</v>
      </c>
      <c r="AY517" s="49">
        <f t="shared" si="114"/>
        <v>0</v>
      </c>
      <c r="AZ517" s="73">
        <f t="shared" si="115"/>
        <v>587400</v>
      </c>
    </row>
    <row r="518" spans="1:52" ht="20.100000000000001" customHeight="1">
      <c r="A518" s="68"/>
      <c r="B518" s="69"/>
      <c r="C518" s="240" t="s">
        <v>715</v>
      </c>
      <c r="D518" s="240"/>
      <c r="E518" s="241"/>
      <c r="F518" s="70"/>
      <c r="G518" s="71"/>
      <c r="H518" s="71"/>
      <c r="I518" s="240" t="s">
        <v>565</v>
      </c>
      <c r="J518" s="240"/>
      <c r="K518" s="241"/>
      <c r="L518" s="49"/>
      <c r="M518" s="49"/>
      <c r="N518" s="49"/>
      <c r="O518" s="49"/>
      <c r="P518" s="49"/>
      <c r="Q518" s="49"/>
      <c r="R518" s="72"/>
      <c r="S518" s="49"/>
      <c r="T518" s="49"/>
      <c r="U518" s="49"/>
      <c r="V518" s="49"/>
      <c r="W518" s="49"/>
      <c r="X518" s="49"/>
      <c r="Y518" s="49"/>
      <c r="Z518" s="49"/>
      <c r="AA518" s="49"/>
      <c r="AB518" s="49"/>
      <c r="AC518" s="49">
        <f t="shared" si="117"/>
        <v>0</v>
      </c>
      <c r="AD518" s="49"/>
      <c r="AE518" s="49"/>
      <c r="AF518" s="49"/>
      <c r="AG518" s="49"/>
      <c r="AH518" s="49"/>
      <c r="AI518" s="49"/>
      <c r="AJ518" s="49"/>
      <c r="AK518" s="49"/>
      <c r="AL518" s="49"/>
      <c r="AM518" s="49"/>
      <c r="AN518" s="49"/>
      <c r="AO518" s="49"/>
      <c r="AP518" s="49"/>
      <c r="AQ518" s="49"/>
      <c r="AR518" s="49"/>
      <c r="AS518" s="49"/>
      <c r="AT518" s="49"/>
      <c r="AU518" s="49"/>
      <c r="AV518" s="49"/>
      <c r="AW518" s="49"/>
      <c r="AX518" s="49"/>
      <c r="AY518" s="49"/>
      <c r="AZ518" s="73">
        <f t="shared" si="115"/>
        <v>0</v>
      </c>
    </row>
    <row r="519" spans="1:52" ht="20.100000000000001" customHeight="1">
      <c r="A519" s="68"/>
      <c r="B519" s="69"/>
      <c r="C519" s="240" t="s">
        <v>716</v>
      </c>
      <c r="D519" s="240"/>
      <c r="E519" s="241"/>
      <c r="F519" s="70"/>
      <c r="G519" s="71"/>
      <c r="H519" s="71"/>
      <c r="I519" s="71"/>
      <c r="J519" s="240" t="s">
        <v>567</v>
      </c>
      <c r="K519" s="241"/>
      <c r="L519" s="49">
        <v>460000</v>
      </c>
      <c r="M519" s="49">
        <v>0</v>
      </c>
      <c r="N519" s="49"/>
      <c r="O519" s="49"/>
      <c r="P519" s="49"/>
      <c r="Q519" s="49">
        <f>SUM(N519:P519)</f>
        <v>0</v>
      </c>
      <c r="R519" s="72"/>
      <c r="S519" s="49">
        <f>M519-Q519</f>
        <v>0</v>
      </c>
      <c r="T519" s="49">
        <v>460000</v>
      </c>
      <c r="U519" s="49">
        <f>T519+M519</f>
        <v>460000</v>
      </c>
      <c r="V519" s="49">
        <f>T519+S519</f>
        <v>460000</v>
      </c>
      <c r="W519" s="49">
        <v>460000</v>
      </c>
      <c r="X519" s="49"/>
      <c r="Y519" s="49"/>
      <c r="Z519" s="49"/>
      <c r="AA519" s="49">
        <v>0</v>
      </c>
      <c r="AB519" s="49">
        <v>460000</v>
      </c>
      <c r="AC519" s="49">
        <f t="shared" si="117"/>
        <v>0</v>
      </c>
      <c r="AD519" s="49">
        <f>AA519+T519+M519</f>
        <v>460000</v>
      </c>
      <c r="AE519" s="49"/>
      <c r="AF519" s="49"/>
      <c r="AG519" s="49">
        <v>0</v>
      </c>
      <c r="AH519" s="49"/>
      <c r="AI519" s="49">
        <v>0</v>
      </c>
      <c r="AJ519" s="49">
        <v>0</v>
      </c>
      <c r="AK519" s="49">
        <f>Z519+Y519+X519+W519+N519+AG519+AE519+AJ519+AI519+AH519</f>
        <v>460000</v>
      </c>
      <c r="AL519" s="49">
        <f>AK519/AD519*100</f>
        <v>100</v>
      </c>
      <c r="AM519" s="49"/>
      <c r="AN519" s="49"/>
      <c r="AO519" s="49"/>
      <c r="AP519" s="49"/>
      <c r="AQ519" s="49">
        <f>AK519+AM519+AN519+AO519+AP519</f>
        <v>460000</v>
      </c>
      <c r="AR519" s="49">
        <f>AQ519/AB519*100</f>
        <v>100</v>
      </c>
      <c r="AS519" s="49">
        <f t="shared" si="113"/>
        <v>0</v>
      </c>
      <c r="AT519" s="49">
        <v>3091500</v>
      </c>
      <c r="AU519" s="49">
        <f>AT519+U519</f>
        <v>3551500</v>
      </c>
      <c r="AV519" s="49">
        <f>AK519</f>
        <v>460000</v>
      </c>
      <c r="AW519" s="72">
        <f>AV519/AU519*100</f>
        <v>12.952273687174435</v>
      </c>
      <c r="AX519" s="49">
        <f>AU519-AV519</f>
        <v>3091500</v>
      </c>
      <c r="AY519" s="49">
        <f t="shared" si="114"/>
        <v>0</v>
      </c>
      <c r="AZ519" s="73">
        <f t="shared" si="115"/>
        <v>460000</v>
      </c>
    </row>
    <row r="520" spans="1:52" ht="20.100000000000001" customHeight="1">
      <c r="A520" s="68"/>
      <c r="B520" s="69"/>
      <c r="C520" s="240" t="s">
        <v>717</v>
      </c>
      <c r="D520" s="240"/>
      <c r="E520" s="241"/>
      <c r="F520" s="70"/>
      <c r="G520" s="71"/>
      <c r="H520" s="71"/>
      <c r="I520" s="71"/>
      <c r="J520" s="240" t="s">
        <v>718</v>
      </c>
      <c r="K520" s="241"/>
      <c r="L520" s="49">
        <v>1165500</v>
      </c>
      <c r="M520" s="49">
        <v>0</v>
      </c>
      <c r="N520" s="49"/>
      <c r="O520" s="49"/>
      <c r="P520" s="49"/>
      <c r="Q520" s="49">
        <f>SUM(N520:P520)</f>
        <v>0</v>
      </c>
      <c r="R520" s="72"/>
      <c r="S520" s="49">
        <f>M520-Q520</f>
        <v>0</v>
      </c>
      <c r="T520" s="49">
        <v>1165500</v>
      </c>
      <c r="U520" s="49">
        <f>T520+M520</f>
        <v>1165500</v>
      </c>
      <c r="V520" s="49">
        <f>T520+S520</f>
        <v>1165500</v>
      </c>
      <c r="W520" s="49">
        <v>1165500</v>
      </c>
      <c r="X520" s="49"/>
      <c r="Y520" s="49"/>
      <c r="Z520" s="49"/>
      <c r="AA520" s="49">
        <v>0</v>
      </c>
      <c r="AB520" s="49">
        <v>1165500</v>
      </c>
      <c r="AC520" s="49">
        <f t="shared" si="117"/>
        <v>0</v>
      </c>
      <c r="AD520" s="49">
        <f>AA520+T520+M520</f>
        <v>1165500</v>
      </c>
      <c r="AE520" s="49"/>
      <c r="AF520" s="49"/>
      <c r="AG520" s="49">
        <v>0</v>
      </c>
      <c r="AH520" s="49"/>
      <c r="AI520" s="49">
        <v>0</v>
      </c>
      <c r="AJ520" s="49">
        <v>0</v>
      </c>
      <c r="AK520" s="49">
        <f>Z520+Y520+X520+W520+N520+AG520+AE520+AJ520+AI520+AH520</f>
        <v>1165500</v>
      </c>
      <c r="AL520" s="49">
        <f>AK520/AD520*100</f>
        <v>100</v>
      </c>
      <c r="AM520" s="49"/>
      <c r="AN520" s="49"/>
      <c r="AO520" s="49"/>
      <c r="AP520" s="49"/>
      <c r="AQ520" s="49">
        <f>AK520+AM520+AN520+AO520+AP520</f>
        <v>1165500</v>
      </c>
      <c r="AR520" s="49">
        <f>AQ520/AB520*100</f>
        <v>100</v>
      </c>
      <c r="AS520" s="49">
        <f t="shared" si="113"/>
        <v>0</v>
      </c>
      <c r="AT520" s="49">
        <v>3091500</v>
      </c>
      <c r="AU520" s="49">
        <f>AT520+U520</f>
        <v>4257000</v>
      </c>
      <c r="AV520" s="49">
        <f>AK520</f>
        <v>1165500</v>
      </c>
      <c r="AW520" s="72">
        <f>AV520/AU520*100</f>
        <v>27.378435517970402</v>
      </c>
      <c r="AX520" s="49">
        <f>AU520-AV520</f>
        <v>3091500</v>
      </c>
      <c r="AY520" s="49">
        <f t="shared" si="114"/>
        <v>0</v>
      </c>
      <c r="AZ520" s="73">
        <f t="shared" si="115"/>
        <v>1165500</v>
      </c>
    </row>
    <row r="521" spans="1:52" ht="20.100000000000001" customHeight="1">
      <c r="A521" s="68"/>
      <c r="B521" s="69"/>
      <c r="C521" s="240" t="s">
        <v>719</v>
      </c>
      <c r="D521" s="240"/>
      <c r="E521" s="241"/>
      <c r="F521" s="70"/>
      <c r="G521" s="71"/>
      <c r="H521" s="71"/>
      <c r="I521" s="71"/>
      <c r="J521" s="240" t="s">
        <v>720</v>
      </c>
      <c r="K521" s="241"/>
      <c r="L521" s="49">
        <v>5232000</v>
      </c>
      <c r="M521" s="49">
        <v>0</v>
      </c>
      <c r="N521" s="49"/>
      <c r="O521" s="49"/>
      <c r="P521" s="49"/>
      <c r="Q521" s="49">
        <f>SUM(N521:P521)</f>
        <v>0</v>
      </c>
      <c r="R521" s="72"/>
      <c r="S521" s="49">
        <f>M521-Q521</f>
        <v>0</v>
      </c>
      <c r="T521" s="49">
        <v>5232000</v>
      </c>
      <c r="U521" s="49">
        <f>T521+M521</f>
        <v>5232000</v>
      </c>
      <c r="V521" s="49">
        <f>T521+S521</f>
        <v>5232000</v>
      </c>
      <c r="W521" s="49">
        <v>5232000</v>
      </c>
      <c r="X521" s="49"/>
      <c r="Y521" s="49"/>
      <c r="Z521" s="49"/>
      <c r="AA521" s="49">
        <v>0</v>
      </c>
      <c r="AB521" s="49">
        <v>5232000</v>
      </c>
      <c r="AC521" s="49">
        <f t="shared" si="117"/>
        <v>0</v>
      </c>
      <c r="AD521" s="49">
        <f>AA521+T521+M521</f>
        <v>5232000</v>
      </c>
      <c r="AE521" s="49"/>
      <c r="AF521" s="49"/>
      <c r="AG521" s="49">
        <v>0</v>
      </c>
      <c r="AH521" s="49"/>
      <c r="AI521" s="49">
        <v>0</v>
      </c>
      <c r="AJ521" s="49">
        <v>0</v>
      </c>
      <c r="AK521" s="49">
        <f>Z521+Y521+X521+W521+N521+AG521+AE521+AJ521+AI521+AH521</f>
        <v>5232000</v>
      </c>
      <c r="AL521" s="49">
        <f>AK521/AD521*100</f>
        <v>100</v>
      </c>
      <c r="AM521" s="49"/>
      <c r="AN521" s="49"/>
      <c r="AO521" s="49"/>
      <c r="AP521" s="49"/>
      <c r="AQ521" s="49">
        <f>AK521+AM521+AN521+AO521+AP521</f>
        <v>5232000</v>
      </c>
      <c r="AR521" s="49">
        <f>AQ521/AB521*100</f>
        <v>100</v>
      </c>
      <c r="AS521" s="49">
        <f t="shared" si="113"/>
        <v>0</v>
      </c>
      <c r="AT521" s="49">
        <v>3091500</v>
      </c>
      <c r="AU521" s="49">
        <f>AT521+U521</f>
        <v>8323500</v>
      </c>
      <c r="AV521" s="49">
        <f>AK521</f>
        <v>5232000</v>
      </c>
      <c r="AW521" s="72">
        <f>AV521/AU521*100</f>
        <v>62.858172643719591</v>
      </c>
      <c r="AX521" s="49">
        <f>AU521-AV521</f>
        <v>3091500</v>
      </c>
      <c r="AY521" s="49">
        <f t="shared" si="114"/>
        <v>0</v>
      </c>
      <c r="AZ521" s="73">
        <f t="shared" si="115"/>
        <v>5232000</v>
      </c>
    </row>
    <row r="522" spans="1:52" ht="20.100000000000001" customHeight="1">
      <c r="A522" s="68"/>
      <c r="B522" s="69"/>
      <c r="C522" s="240" t="s">
        <v>721</v>
      </c>
      <c r="D522" s="240"/>
      <c r="E522" s="241"/>
      <c r="F522" s="70"/>
      <c r="G522" s="71"/>
      <c r="H522" s="71"/>
      <c r="I522" s="71"/>
      <c r="J522" s="240" t="s">
        <v>722</v>
      </c>
      <c r="K522" s="241"/>
      <c r="L522" s="49">
        <v>3000000</v>
      </c>
      <c r="M522" s="49">
        <v>0</v>
      </c>
      <c r="N522" s="49"/>
      <c r="O522" s="49"/>
      <c r="P522" s="49"/>
      <c r="Q522" s="49">
        <f>SUM(N522:P522)</f>
        <v>0</v>
      </c>
      <c r="R522" s="72"/>
      <c r="S522" s="49">
        <f>M522-Q522</f>
        <v>0</v>
      </c>
      <c r="T522" s="49">
        <v>3000000</v>
      </c>
      <c r="U522" s="49">
        <f>T522+M522</f>
        <v>3000000</v>
      </c>
      <c r="V522" s="49">
        <f>T522+S522</f>
        <v>3000000</v>
      </c>
      <c r="W522" s="49">
        <v>3000000</v>
      </c>
      <c r="X522" s="49"/>
      <c r="Y522" s="49"/>
      <c r="Z522" s="49"/>
      <c r="AA522" s="49">
        <v>0</v>
      </c>
      <c r="AB522" s="49">
        <v>3000000</v>
      </c>
      <c r="AC522" s="49">
        <f t="shared" si="117"/>
        <v>0</v>
      </c>
      <c r="AD522" s="49">
        <f>AA522+T522+M522</f>
        <v>3000000</v>
      </c>
      <c r="AE522" s="49"/>
      <c r="AF522" s="49"/>
      <c r="AG522" s="49">
        <v>0</v>
      </c>
      <c r="AH522" s="49"/>
      <c r="AI522" s="49">
        <v>0</v>
      </c>
      <c r="AJ522" s="49">
        <v>0</v>
      </c>
      <c r="AK522" s="49">
        <f>Z522+Y522+X522+W522+N522+AG522+AE522+AJ522+AI522+AH522</f>
        <v>3000000</v>
      </c>
      <c r="AL522" s="49">
        <f>AK522/AD522*100</f>
        <v>100</v>
      </c>
      <c r="AM522" s="49"/>
      <c r="AN522" s="49"/>
      <c r="AO522" s="49"/>
      <c r="AP522" s="49"/>
      <c r="AQ522" s="49">
        <f>AK522+AM522+AN522+AO522+AP522</f>
        <v>3000000</v>
      </c>
      <c r="AR522" s="49">
        <f>AQ522/AB522*100</f>
        <v>100</v>
      </c>
      <c r="AS522" s="49">
        <f t="shared" si="113"/>
        <v>0</v>
      </c>
      <c r="AT522" s="49">
        <v>3091500</v>
      </c>
      <c r="AU522" s="49">
        <f>AT522+U522</f>
        <v>6091500</v>
      </c>
      <c r="AV522" s="49">
        <f>AK522</f>
        <v>3000000</v>
      </c>
      <c r="AW522" s="72">
        <f>AV522/AU522*100</f>
        <v>49.248953459738978</v>
      </c>
      <c r="AX522" s="49">
        <f>AU522-AV522</f>
        <v>3091500</v>
      </c>
      <c r="AY522" s="49">
        <f t="shared" si="114"/>
        <v>0</v>
      </c>
      <c r="AZ522" s="73">
        <f t="shared" si="115"/>
        <v>3000000</v>
      </c>
    </row>
    <row r="523" spans="1:52" ht="20.100000000000001" customHeight="1">
      <c r="A523" s="68"/>
      <c r="B523" s="69"/>
      <c r="C523" s="240" t="s">
        <v>723</v>
      </c>
      <c r="D523" s="240"/>
      <c r="E523" s="241"/>
      <c r="F523" s="70"/>
      <c r="G523" s="71"/>
      <c r="H523" s="71"/>
      <c r="I523" s="71"/>
      <c r="J523" s="240" t="s">
        <v>569</v>
      </c>
      <c r="K523" s="241"/>
      <c r="L523" s="49">
        <v>3000000</v>
      </c>
      <c r="M523" s="49">
        <v>0</v>
      </c>
      <c r="N523" s="49"/>
      <c r="O523" s="49"/>
      <c r="P523" s="49"/>
      <c r="Q523" s="49">
        <f>SUM(N523:P523)</f>
        <v>0</v>
      </c>
      <c r="R523" s="72"/>
      <c r="S523" s="49">
        <f>M523-Q523</f>
        <v>0</v>
      </c>
      <c r="T523" s="49">
        <v>3000000</v>
      </c>
      <c r="U523" s="49">
        <f>T523+M523</f>
        <v>3000000</v>
      </c>
      <c r="V523" s="49">
        <f>T523+S523</f>
        <v>3000000</v>
      </c>
      <c r="W523" s="49">
        <v>3000000</v>
      </c>
      <c r="X523" s="49"/>
      <c r="Y523" s="49"/>
      <c r="Z523" s="49"/>
      <c r="AA523" s="49">
        <v>0</v>
      </c>
      <c r="AB523" s="49">
        <v>3000000</v>
      </c>
      <c r="AC523" s="49">
        <f t="shared" si="117"/>
        <v>0</v>
      </c>
      <c r="AD523" s="49">
        <f>AA523+T523+M523</f>
        <v>3000000</v>
      </c>
      <c r="AE523" s="49"/>
      <c r="AF523" s="49"/>
      <c r="AG523" s="49">
        <v>0</v>
      </c>
      <c r="AH523" s="49"/>
      <c r="AI523" s="49">
        <v>0</v>
      </c>
      <c r="AJ523" s="49">
        <v>0</v>
      </c>
      <c r="AK523" s="49">
        <f>Z523+Y523+X523+W523+N523+AG523+AE523+AJ523+AI523+AH523</f>
        <v>3000000</v>
      </c>
      <c r="AL523" s="49">
        <f>AK523/AD523*100</f>
        <v>100</v>
      </c>
      <c r="AM523" s="49"/>
      <c r="AN523" s="49"/>
      <c r="AO523" s="49"/>
      <c r="AP523" s="49"/>
      <c r="AQ523" s="49">
        <f>AK523+AM523+AN523+AO523+AP523</f>
        <v>3000000</v>
      </c>
      <c r="AR523" s="49">
        <f>AQ523/AB523*100</f>
        <v>100</v>
      </c>
      <c r="AS523" s="49">
        <f t="shared" si="113"/>
        <v>0</v>
      </c>
      <c r="AT523" s="49">
        <v>3091500</v>
      </c>
      <c r="AU523" s="49">
        <f>AT523+U523</f>
        <v>6091500</v>
      </c>
      <c r="AV523" s="49">
        <f>AK523</f>
        <v>3000000</v>
      </c>
      <c r="AW523" s="72">
        <f>AV523/AU523*100</f>
        <v>49.248953459738978</v>
      </c>
      <c r="AX523" s="49">
        <f>AU523-AV523</f>
        <v>3091500</v>
      </c>
      <c r="AY523" s="49">
        <f t="shared" si="114"/>
        <v>0</v>
      </c>
      <c r="AZ523" s="73">
        <f t="shared" si="115"/>
        <v>3000000</v>
      </c>
    </row>
    <row r="524" spans="1:52" ht="20.100000000000001" customHeight="1">
      <c r="A524" s="68"/>
      <c r="B524" s="69"/>
      <c r="C524" s="240" t="s">
        <v>724</v>
      </c>
      <c r="D524" s="240"/>
      <c r="E524" s="241"/>
      <c r="F524" s="70"/>
      <c r="G524" s="71"/>
      <c r="H524" s="71"/>
      <c r="I524" s="240" t="s">
        <v>193</v>
      </c>
      <c r="J524" s="240"/>
      <c r="K524" s="241"/>
      <c r="L524" s="49"/>
      <c r="M524" s="49"/>
      <c r="N524" s="49"/>
      <c r="O524" s="49"/>
      <c r="P524" s="49"/>
      <c r="Q524" s="49"/>
      <c r="R524" s="72"/>
      <c r="S524" s="49"/>
      <c r="T524" s="49"/>
      <c r="U524" s="49"/>
      <c r="V524" s="49"/>
      <c r="W524" s="49"/>
      <c r="X524" s="49"/>
      <c r="Y524" s="49"/>
      <c r="Z524" s="49"/>
      <c r="AA524" s="49"/>
      <c r="AB524" s="49"/>
      <c r="AC524" s="49">
        <f t="shared" si="117"/>
        <v>0</v>
      </c>
      <c r="AD524" s="49"/>
      <c r="AE524" s="49"/>
      <c r="AF524" s="49"/>
      <c r="AG524" s="49"/>
      <c r="AH524" s="49"/>
      <c r="AI524" s="49"/>
      <c r="AJ524" s="49"/>
      <c r="AK524" s="49"/>
      <c r="AL524" s="49"/>
      <c r="AM524" s="49"/>
      <c r="AN524" s="49"/>
      <c r="AO524" s="49"/>
      <c r="AP524" s="49"/>
      <c r="AQ524" s="49"/>
      <c r="AR524" s="49"/>
      <c r="AS524" s="49"/>
      <c r="AT524" s="49"/>
      <c r="AU524" s="49"/>
      <c r="AV524" s="49"/>
      <c r="AW524" s="49"/>
      <c r="AX524" s="49"/>
      <c r="AY524" s="49"/>
      <c r="AZ524" s="73">
        <f t="shared" si="115"/>
        <v>0</v>
      </c>
    </row>
    <row r="525" spans="1:52" ht="20.100000000000001" customHeight="1">
      <c r="A525" s="68"/>
      <c r="B525" s="69"/>
      <c r="C525" s="240" t="s">
        <v>725</v>
      </c>
      <c r="D525" s="240"/>
      <c r="E525" s="241"/>
      <c r="F525" s="70"/>
      <c r="G525" s="71"/>
      <c r="H525" s="71"/>
      <c r="I525" s="71"/>
      <c r="J525" s="240" t="s">
        <v>195</v>
      </c>
      <c r="K525" s="241"/>
      <c r="L525" s="49">
        <v>20775000</v>
      </c>
      <c r="M525" s="49">
        <v>0</v>
      </c>
      <c r="N525" s="49"/>
      <c r="O525" s="49"/>
      <c r="P525" s="49"/>
      <c r="Q525" s="49">
        <f>SUM(N525:P525)</f>
        <v>0</v>
      </c>
      <c r="R525" s="72"/>
      <c r="S525" s="49">
        <f>M525-Q525</f>
        <v>0</v>
      </c>
      <c r="T525" s="49">
        <v>20775000</v>
      </c>
      <c r="U525" s="49">
        <f>T525+M525</f>
        <v>20775000</v>
      </c>
      <c r="V525" s="49">
        <f>T525+S525</f>
        <v>20775000</v>
      </c>
      <c r="W525" s="49">
        <v>20775000</v>
      </c>
      <c r="X525" s="49"/>
      <c r="Y525" s="49"/>
      <c r="Z525" s="49"/>
      <c r="AA525" s="49">
        <v>0</v>
      </c>
      <c r="AB525" s="49">
        <v>20775000</v>
      </c>
      <c r="AC525" s="49">
        <f t="shared" si="117"/>
        <v>0</v>
      </c>
      <c r="AD525" s="49">
        <f>AA525+T525+M525</f>
        <v>20775000</v>
      </c>
      <c r="AE525" s="49"/>
      <c r="AF525" s="49"/>
      <c r="AG525" s="49">
        <v>0</v>
      </c>
      <c r="AH525" s="49"/>
      <c r="AI525" s="49">
        <v>0</v>
      </c>
      <c r="AJ525" s="49">
        <v>0</v>
      </c>
      <c r="AK525" s="49">
        <f>Z525+Y525+X525+W525+N525+AG525+AE525+AJ525+AI525+AH525</f>
        <v>20775000</v>
      </c>
      <c r="AL525" s="49">
        <f>AK525/AD525*100</f>
        <v>100</v>
      </c>
      <c r="AM525" s="49"/>
      <c r="AN525" s="49"/>
      <c r="AO525" s="49"/>
      <c r="AP525" s="49"/>
      <c r="AQ525" s="49">
        <f>AK525+AM525+AN525+AO525+AP525</f>
        <v>20775000</v>
      </c>
      <c r="AR525" s="49">
        <f>AQ525/AB525*100</f>
        <v>100</v>
      </c>
      <c r="AS525" s="49">
        <f t="shared" si="113"/>
        <v>0</v>
      </c>
      <c r="AT525" s="49">
        <v>3091500</v>
      </c>
      <c r="AU525" s="49">
        <f>AT525+U525</f>
        <v>23866500</v>
      </c>
      <c r="AV525" s="49">
        <f>AK525</f>
        <v>20775000</v>
      </c>
      <c r="AW525" s="72">
        <f>AV525/AU525*100</f>
        <v>87.046697253472445</v>
      </c>
      <c r="AX525" s="49">
        <f>AU525-AV525</f>
        <v>3091500</v>
      </c>
      <c r="AY525" s="49">
        <f t="shared" si="114"/>
        <v>0</v>
      </c>
      <c r="AZ525" s="73">
        <f t="shared" si="115"/>
        <v>20775000</v>
      </c>
    </row>
    <row r="526" spans="1:52" ht="20.100000000000001" customHeight="1">
      <c r="A526" s="68"/>
      <c r="B526" s="69"/>
      <c r="C526" s="240" t="s">
        <v>726</v>
      </c>
      <c r="D526" s="240"/>
      <c r="E526" s="241"/>
      <c r="F526" s="70"/>
      <c r="G526" s="71"/>
      <c r="H526" s="71"/>
      <c r="I526" s="240" t="s">
        <v>157</v>
      </c>
      <c r="J526" s="240"/>
      <c r="K526" s="241"/>
      <c r="L526" s="49"/>
      <c r="M526" s="49"/>
      <c r="N526" s="49"/>
      <c r="O526" s="49"/>
      <c r="P526" s="49"/>
      <c r="Q526" s="49"/>
      <c r="R526" s="72"/>
      <c r="S526" s="49"/>
      <c r="T526" s="49"/>
      <c r="U526" s="49"/>
      <c r="V526" s="49"/>
      <c r="W526" s="49"/>
      <c r="X526" s="49"/>
      <c r="Y526" s="49"/>
      <c r="Z526" s="49"/>
      <c r="AA526" s="49"/>
      <c r="AB526" s="49"/>
      <c r="AC526" s="49">
        <f t="shared" si="117"/>
        <v>0</v>
      </c>
      <c r="AD526" s="49"/>
      <c r="AE526" s="49"/>
      <c r="AF526" s="49"/>
      <c r="AG526" s="49"/>
      <c r="AH526" s="49"/>
      <c r="AI526" s="49"/>
      <c r="AJ526" s="49"/>
      <c r="AK526" s="49"/>
      <c r="AL526" s="49"/>
      <c r="AM526" s="49"/>
      <c r="AN526" s="49"/>
      <c r="AO526" s="49"/>
      <c r="AP526" s="49"/>
      <c r="AQ526" s="49"/>
      <c r="AR526" s="49"/>
      <c r="AS526" s="49"/>
      <c r="AT526" s="49"/>
      <c r="AU526" s="49"/>
      <c r="AV526" s="49"/>
      <c r="AW526" s="49"/>
      <c r="AX526" s="49"/>
      <c r="AY526" s="49"/>
      <c r="AZ526" s="73">
        <f t="shared" si="115"/>
        <v>0</v>
      </c>
    </row>
    <row r="527" spans="1:52" ht="20.100000000000001" customHeight="1">
      <c r="A527" s="68"/>
      <c r="B527" s="69"/>
      <c r="C527" s="240" t="s">
        <v>727</v>
      </c>
      <c r="D527" s="240"/>
      <c r="E527" s="241"/>
      <c r="F527" s="70"/>
      <c r="G527" s="71"/>
      <c r="H527" s="71"/>
      <c r="I527" s="71"/>
      <c r="J527" s="240" t="s">
        <v>159</v>
      </c>
      <c r="K527" s="241"/>
      <c r="L527" s="49">
        <v>4090000</v>
      </c>
      <c r="M527" s="49">
        <v>0</v>
      </c>
      <c r="N527" s="49"/>
      <c r="O527" s="49"/>
      <c r="P527" s="49"/>
      <c r="Q527" s="49">
        <f>SUM(N527:P527)</f>
        <v>0</v>
      </c>
      <c r="R527" s="72"/>
      <c r="S527" s="49">
        <f>M527-Q527</f>
        <v>0</v>
      </c>
      <c r="T527" s="49">
        <v>4090000</v>
      </c>
      <c r="U527" s="49">
        <f>T527+M527</f>
        <v>4090000</v>
      </c>
      <c r="V527" s="49">
        <f>T527+S527</f>
        <v>4090000</v>
      </c>
      <c r="W527" s="49">
        <v>4090000</v>
      </c>
      <c r="X527" s="49"/>
      <c r="Y527" s="49"/>
      <c r="Z527" s="49"/>
      <c r="AA527" s="49">
        <v>0</v>
      </c>
      <c r="AB527" s="49">
        <v>4090000</v>
      </c>
      <c r="AC527" s="49">
        <f t="shared" si="117"/>
        <v>0</v>
      </c>
      <c r="AD527" s="49">
        <f>AA527+T527+M527</f>
        <v>4090000</v>
      </c>
      <c r="AE527" s="49"/>
      <c r="AF527" s="49"/>
      <c r="AG527" s="49">
        <v>0</v>
      </c>
      <c r="AH527" s="49"/>
      <c r="AI527" s="49">
        <v>0</v>
      </c>
      <c r="AJ527" s="49">
        <v>0</v>
      </c>
      <c r="AK527" s="49">
        <f>Z527+Y527+X527+W527+N527+AG527+AE527+AJ527+AI527+AH527</f>
        <v>4090000</v>
      </c>
      <c r="AL527" s="49">
        <f>AK527/AD527*100</f>
        <v>100</v>
      </c>
      <c r="AM527" s="49"/>
      <c r="AN527" s="49"/>
      <c r="AO527" s="49"/>
      <c r="AP527" s="49"/>
      <c r="AQ527" s="49">
        <f>AK527+AM527+AN527+AO527+AP527</f>
        <v>4090000</v>
      </c>
      <c r="AR527" s="49">
        <f>AQ527/AB527*100</f>
        <v>100</v>
      </c>
      <c r="AS527" s="49">
        <f t="shared" si="113"/>
        <v>0</v>
      </c>
      <c r="AT527" s="49">
        <v>3091500</v>
      </c>
      <c r="AU527" s="49">
        <f>AT527+U527</f>
        <v>7181500</v>
      </c>
      <c r="AV527" s="49">
        <f>AK527</f>
        <v>4090000</v>
      </c>
      <c r="AW527" s="72">
        <f>AV527/AU527*100</f>
        <v>56.951890273619718</v>
      </c>
      <c r="AX527" s="49">
        <f>AU527-AV527</f>
        <v>3091500</v>
      </c>
      <c r="AY527" s="49">
        <f t="shared" si="114"/>
        <v>0</v>
      </c>
      <c r="AZ527" s="73">
        <f t="shared" si="115"/>
        <v>4090000</v>
      </c>
    </row>
    <row r="528" spans="1:52" ht="20.100000000000001" customHeight="1">
      <c r="A528" s="68"/>
      <c r="B528" s="69"/>
      <c r="C528" s="240" t="s">
        <v>728</v>
      </c>
      <c r="D528" s="240"/>
      <c r="E528" s="241"/>
      <c r="F528" s="70"/>
      <c r="G528" s="71"/>
      <c r="H528" s="71"/>
      <c r="I528" s="71"/>
      <c r="J528" s="240" t="s">
        <v>207</v>
      </c>
      <c r="K528" s="241"/>
      <c r="L528" s="49">
        <v>6010000</v>
      </c>
      <c r="M528" s="49">
        <v>0</v>
      </c>
      <c r="N528" s="49"/>
      <c r="O528" s="49"/>
      <c r="P528" s="49"/>
      <c r="Q528" s="49">
        <f>SUM(N528:P528)</f>
        <v>0</v>
      </c>
      <c r="R528" s="72"/>
      <c r="S528" s="49">
        <f>M528-Q528</f>
        <v>0</v>
      </c>
      <c r="T528" s="49">
        <v>6010000</v>
      </c>
      <c r="U528" s="49">
        <f>T528+M528</f>
        <v>6010000</v>
      </c>
      <c r="V528" s="49">
        <f>T528+S528</f>
        <v>6010000</v>
      </c>
      <c r="W528" s="49">
        <v>5960000</v>
      </c>
      <c r="X528" s="49"/>
      <c r="Y528" s="49"/>
      <c r="Z528" s="49"/>
      <c r="AA528" s="49">
        <v>0</v>
      </c>
      <c r="AB528" s="49">
        <v>6010000</v>
      </c>
      <c r="AC528" s="49">
        <f t="shared" si="117"/>
        <v>0</v>
      </c>
      <c r="AD528" s="49">
        <f>AA528+T528+M528</f>
        <v>6010000</v>
      </c>
      <c r="AE528" s="49"/>
      <c r="AF528" s="49"/>
      <c r="AG528" s="49">
        <v>0</v>
      </c>
      <c r="AH528" s="49"/>
      <c r="AI528" s="49">
        <v>0</v>
      </c>
      <c r="AJ528" s="49">
        <v>0</v>
      </c>
      <c r="AK528" s="49">
        <f>Z528+Y528+X528+W528+N528+AG528+AE528+AJ528+AI528+AH528</f>
        <v>5960000</v>
      </c>
      <c r="AL528" s="49">
        <f>AK528/AD528*100</f>
        <v>99.168053244592343</v>
      </c>
      <c r="AM528" s="49"/>
      <c r="AN528" s="49"/>
      <c r="AO528" s="49"/>
      <c r="AP528" s="49"/>
      <c r="AQ528" s="49">
        <f>AK528+AM528+AN528+AO528+AP528</f>
        <v>5960000</v>
      </c>
      <c r="AR528" s="49">
        <f>AQ528/AB528*100</f>
        <v>99.168053244592343</v>
      </c>
      <c r="AS528" s="49">
        <f t="shared" si="113"/>
        <v>50000</v>
      </c>
      <c r="AT528" s="49">
        <v>3091500</v>
      </c>
      <c r="AU528" s="49">
        <f>AT528+U528</f>
        <v>9101500</v>
      </c>
      <c r="AV528" s="49">
        <f>AK528</f>
        <v>5960000</v>
      </c>
      <c r="AW528" s="72">
        <f>AV528/AU528*100</f>
        <v>65.48371147613031</v>
      </c>
      <c r="AX528" s="49">
        <f>AU528-AV528</f>
        <v>3141500</v>
      </c>
      <c r="AY528" s="49">
        <f t="shared" si="114"/>
        <v>0.83194675540765384</v>
      </c>
      <c r="AZ528" s="73">
        <f t="shared" si="115"/>
        <v>5960000</v>
      </c>
    </row>
    <row r="529" spans="1:53" ht="20.100000000000001" customHeight="1">
      <c r="A529" s="62">
        <v>33</v>
      </c>
      <c r="B529" s="63"/>
      <c r="C529" s="242" t="s">
        <v>729</v>
      </c>
      <c r="D529" s="242"/>
      <c r="E529" s="243"/>
      <c r="F529" s="64"/>
      <c r="G529" s="244" t="s">
        <v>32</v>
      </c>
      <c r="H529" s="244"/>
      <c r="I529" s="244"/>
      <c r="J529" s="244"/>
      <c r="K529" s="245"/>
      <c r="L529" s="65">
        <f>SUM(L532:L547)</f>
        <v>42500000</v>
      </c>
      <c r="M529" s="65">
        <f>SUM(M532:M547)</f>
        <v>42500000</v>
      </c>
      <c r="N529" s="65">
        <f>SUM(N532:N547)</f>
        <v>42484930</v>
      </c>
      <c r="O529" s="65">
        <f>SUM(O532:O547)</f>
        <v>0</v>
      </c>
      <c r="P529" s="65">
        <f>SUM(P532:P547)</f>
        <v>0</v>
      </c>
      <c r="Q529" s="65">
        <f>SUM(N529:P529)</f>
        <v>42484930</v>
      </c>
      <c r="R529" s="66">
        <f t="shared" ref="R529:R549" si="119">Q529/M529*100</f>
        <v>99.96454117647059</v>
      </c>
      <c r="S529" s="65">
        <f>M529-Q529</f>
        <v>15070</v>
      </c>
      <c r="T529" s="65">
        <f>SUM(T532:T547)</f>
        <v>0</v>
      </c>
      <c r="U529" s="65">
        <f>T529+M529</f>
        <v>42500000</v>
      </c>
      <c r="V529" s="65">
        <f>T529+S529</f>
        <v>15070</v>
      </c>
      <c r="W529" s="65">
        <f>SUM(W532:W547)</f>
        <v>0</v>
      </c>
      <c r="X529" s="65">
        <f>SUM(X532:X547)</f>
        <v>0</v>
      </c>
      <c r="Y529" s="65">
        <f>SUM(Y532:Y547)</f>
        <v>0</v>
      </c>
      <c r="Z529" s="65"/>
      <c r="AA529" s="65">
        <f>SUM(AA532:AA547)</f>
        <v>0</v>
      </c>
      <c r="AB529" s="65">
        <f>SUM(AB532:AB547)</f>
        <v>42500000</v>
      </c>
      <c r="AC529" s="65">
        <f t="shared" si="117"/>
        <v>0</v>
      </c>
      <c r="AD529" s="65">
        <f>AA529+T529+M529</f>
        <v>42500000</v>
      </c>
      <c r="AE529" s="65">
        <f t="shared" ref="AE529:AK529" si="120">SUM(AE532:AE547)</f>
        <v>0</v>
      </c>
      <c r="AF529" s="65">
        <f t="shared" si="120"/>
        <v>0</v>
      </c>
      <c r="AG529" s="65">
        <f t="shared" si="120"/>
        <v>0</v>
      </c>
      <c r="AH529" s="65">
        <f t="shared" si="120"/>
        <v>0</v>
      </c>
      <c r="AI529" s="65">
        <f t="shared" si="120"/>
        <v>0</v>
      </c>
      <c r="AJ529" s="65">
        <f t="shared" si="120"/>
        <v>0</v>
      </c>
      <c r="AK529" s="65">
        <f t="shared" si="120"/>
        <v>42484930</v>
      </c>
      <c r="AL529" s="65">
        <f>AK529/AB529*100</f>
        <v>99.96454117647059</v>
      </c>
      <c r="AM529" s="65">
        <f>SUM(AM532:AM547)</f>
        <v>0</v>
      </c>
      <c r="AN529" s="65">
        <f>SUM(AN532:AN547)</f>
        <v>0</v>
      </c>
      <c r="AO529" s="65">
        <f>SUM(AO532:AO547)</f>
        <v>0</v>
      </c>
      <c r="AP529" s="65">
        <f>SUM(AP532:AP547)</f>
        <v>0</v>
      </c>
      <c r="AQ529" s="65">
        <f>AK529+AM529+AN529+AO529+AP529</f>
        <v>42484930</v>
      </c>
      <c r="AR529" s="65">
        <f>AQ529/AB529*100</f>
        <v>99.96454117647059</v>
      </c>
      <c r="AS529" s="65">
        <f>AB529-AQ529</f>
        <v>15070</v>
      </c>
      <c r="AT529" s="65">
        <f>SUM(AT532:AT538)</f>
        <v>12366000</v>
      </c>
      <c r="AU529" s="65">
        <f>AT529+U529</f>
        <v>54866000</v>
      </c>
      <c r="AV529" s="65">
        <f>AK529</f>
        <v>42484930</v>
      </c>
      <c r="AW529" s="66">
        <f>AV529/AU529*100</f>
        <v>77.433984617067026</v>
      </c>
      <c r="AX529" s="65">
        <f>AU529-AV529</f>
        <v>12381070</v>
      </c>
      <c r="AY529" s="65">
        <f>AS529/AB529*100</f>
        <v>3.5458823529411765E-2</v>
      </c>
      <c r="AZ529" s="67">
        <f t="shared" si="115"/>
        <v>42484930</v>
      </c>
      <c r="BA529" s="29">
        <f>AS529</f>
        <v>15070</v>
      </c>
    </row>
    <row r="530" spans="1:53" ht="20.100000000000001" customHeight="1">
      <c r="A530" s="68"/>
      <c r="B530" s="69"/>
      <c r="C530" s="240" t="s">
        <v>730</v>
      </c>
      <c r="D530" s="240"/>
      <c r="E530" s="241"/>
      <c r="F530" s="70"/>
      <c r="G530" s="71"/>
      <c r="H530" s="240" t="s">
        <v>10</v>
      </c>
      <c r="I530" s="240"/>
      <c r="J530" s="240"/>
      <c r="K530" s="241"/>
      <c r="L530" s="49"/>
      <c r="M530" s="49"/>
      <c r="N530" s="49"/>
      <c r="O530" s="49"/>
      <c r="P530" s="49"/>
      <c r="Q530" s="49"/>
      <c r="R530" s="72"/>
      <c r="S530" s="49"/>
      <c r="T530" s="49">
        <v>0</v>
      </c>
      <c r="U530" s="49"/>
      <c r="V530" s="49"/>
      <c r="W530" s="49"/>
      <c r="X530" s="49"/>
      <c r="Y530" s="49"/>
      <c r="Z530" s="49"/>
      <c r="AA530" s="49">
        <v>0</v>
      </c>
      <c r="AB530" s="49"/>
      <c r="AC530" s="49">
        <f t="shared" si="117"/>
        <v>0</v>
      </c>
      <c r="AD530" s="49"/>
      <c r="AE530" s="49"/>
      <c r="AF530" s="49"/>
      <c r="AG530" s="49"/>
      <c r="AH530" s="49"/>
      <c r="AI530" s="49"/>
      <c r="AJ530" s="49"/>
      <c r="AK530" s="49"/>
      <c r="AL530" s="49"/>
      <c r="AM530" s="49"/>
      <c r="AN530" s="49"/>
      <c r="AO530" s="49"/>
      <c r="AP530" s="49"/>
      <c r="AQ530" s="49"/>
      <c r="AR530" s="49"/>
      <c r="AS530" s="49"/>
      <c r="AT530" s="49"/>
      <c r="AU530" s="49"/>
      <c r="AV530" s="49"/>
      <c r="AW530" s="49"/>
      <c r="AX530" s="49"/>
      <c r="AY530" s="49"/>
      <c r="AZ530" s="73">
        <f t="shared" si="115"/>
        <v>0</v>
      </c>
    </row>
    <row r="531" spans="1:53" ht="20.100000000000001" customHeight="1">
      <c r="A531" s="68"/>
      <c r="B531" s="69"/>
      <c r="C531" s="240" t="s">
        <v>731</v>
      </c>
      <c r="D531" s="240"/>
      <c r="E531" s="241"/>
      <c r="F531" s="70"/>
      <c r="G531" s="71"/>
      <c r="H531" s="71"/>
      <c r="I531" s="240" t="s">
        <v>177</v>
      </c>
      <c r="J531" s="240"/>
      <c r="K531" s="241"/>
      <c r="L531" s="49"/>
      <c r="M531" s="49"/>
      <c r="N531" s="49"/>
      <c r="O531" s="49"/>
      <c r="P531" s="49"/>
      <c r="Q531" s="49"/>
      <c r="R531" s="72"/>
      <c r="S531" s="49"/>
      <c r="T531" s="49">
        <v>0</v>
      </c>
      <c r="U531" s="49"/>
      <c r="V531" s="49"/>
      <c r="W531" s="49"/>
      <c r="X531" s="49"/>
      <c r="Y531" s="49"/>
      <c r="Z531" s="49"/>
      <c r="AA531" s="49">
        <v>0</v>
      </c>
      <c r="AB531" s="49"/>
      <c r="AC531" s="49">
        <f t="shared" si="117"/>
        <v>0</v>
      </c>
      <c r="AD531" s="49"/>
      <c r="AE531" s="49"/>
      <c r="AF531" s="49"/>
      <c r="AG531" s="49"/>
      <c r="AH531" s="49"/>
      <c r="AI531" s="49"/>
      <c r="AJ531" s="49"/>
      <c r="AK531" s="49"/>
      <c r="AL531" s="49"/>
      <c r="AM531" s="49"/>
      <c r="AN531" s="49"/>
      <c r="AO531" s="49"/>
      <c r="AP531" s="49"/>
      <c r="AQ531" s="49"/>
      <c r="AR531" s="49"/>
      <c r="AS531" s="49"/>
      <c r="AT531" s="49"/>
      <c r="AU531" s="49"/>
      <c r="AV531" s="49"/>
      <c r="AW531" s="49"/>
      <c r="AX531" s="49"/>
      <c r="AY531" s="49"/>
      <c r="AZ531" s="73">
        <f t="shared" si="115"/>
        <v>0</v>
      </c>
    </row>
    <row r="532" spans="1:53" ht="20.100000000000001" customHeight="1">
      <c r="A532" s="68"/>
      <c r="B532" s="69"/>
      <c r="C532" s="240" t="s">
        <v>732</v>
      </c>
      <c r="D532" s="240"/>
      <c r="E532" s="241"/>
      <c r="F532" s="70"/>
      <c r="G532" s="71"/>
      <c r="H532" s="71"/>
      <c r="I532" s="71"/>
      <c r="J532" s="240" t="s">
        <v>283</v>
      </c>
      <c r="K532" s="241"/>
      <c r="L532" s="49">
        <v>2680000</v>
      </c>
      <c r="M532" s="49">
        <v>2680000</v>
      </c>
      <c r="N532" s="49">
        <v>2680000</v>
      </c>
      <c r="O532" s="49"/>
      <c r="P532" s="49"/>
      <c r="Q532" s="49">
        <f>SUM(N532:P532)</f>
        <v>2680000</v>
      </c>
      <c r="R532" s="72">
        <f t="shared" si="119"/>
        <v>100</v>
      </c>
      <c r="S532" s="49">
        <f>M532-Q532</f>
        <v>0</v>
      </c>
      <c r="T532" s="49">
        <v>0</v>
      </c>
      <c r="U532" s="49">
        <f>T532+M532</f>
        <v>2680000</v>
      </c>
      <c r="V532" s="49">
        <f>T532+S532</f>
        <v>0</v>
      </c>
      <c r="W532" s="49"/>
      <c r="X532" s="49"/>
      <c r="Y532" s="49"/>
      <c r="Z532" s="49"/>
      <c r="AA532" s="49">
        <v>0</v>
      </c>
      <c r="AB532" s="49">
        <v>2680000</v>
      </c>
      <c r="AC532" s="49">
        <f t="shared" si="117"/>
        <v>0</v>
      </c>
      <c r="AD532" s="49">
        <f>AA532+T532+M532</f>
        <v>2680000</v>
      </c>
      <c r="AE532" s="49"/>
      <c r="AF532" s="49"/>
      <c r="AG532" s="49"/>
      <c r="AH532" s="49"/>
      <c r="AI532" s="49"/>
      <c r="AJ532" s="49"/>
      <c r="AK532" s="49">
        <f>Z532+Y532+X532+W532+N532+AG532+AE532+AJ532+AI532+AH532</f>
        <v>2680000</v>
      </c>
      <c r="AL532" s="49">
        <f>AK532/AD532*100</f>
        <v>100</v>
      </c>
      <c r="AM532" s="49"/>
      <c r="AN532" s="49"/>
      <c r="AO532" s="49"/>
      <c r="AP532" s="49"/>
      <c r="AQ532" s="49">
        <f>AK532+AM532+AN532+AO532+AP532</f>
        <v>2680000</v>
      </c>
      <c r="AR532" s="49">
        <f>AQ532/AB532*100</f>
        <v>100</v>
      </c>
      <c r="AS532" s="49">
        <f t="shared" si="113"/>
        <v>0</v>
      </c>
      <c r="AT532" s="49">
        <v>3091500</v>
      </c>
      <c r="AU532" s="49">
        <f t="shared" ref="AU532:AU547" si="121">AT532+U532</f>
        <v>5771500</v>
      </c>
      <c r="AV532" s="49">
        <f t="shared" ref="AV532:AV547" si="122">AK532</f>
        <v>2680000</v>
      </c>
      <c r="AW532" s="72">
        <f t="shared" ref="AW532:AW547" si="123">AV532/AU532*100</f>
        <v>46.435068872909987</v>
      </c>
      <c r="AX532" s="49">
        <f t="shared" ref="AX532:AX547" si="124">AU532-AV532</f>
        <v>3091500</v>
      </c>
      <c r="AY532" s="49">
        <f t="shared" si="114"/>
        <v>0</v>
      </c>
      <c r="AZ532" s="73">
        <f t="shared" si="115"/>
        <v>2680000</v>
      </c>
    </row>
    <row r="533" spans="1:53" ht="20.100000000000001" customHeight="1">
      <c r="A533" s="68"/>
      <c r="B533" s="69"/>
      <c r="C533" s="240" t="s">
        <v>733</v>
      </c>
      <c r="D533" s="240"/>
      <c r="E533" s="241"/>
      <c r="F533" s="70"/>
      <c r="G533" s="71"/>
      <c r="H533" s="240" t="s">
        <v>143</v>
      </c>
      <c r="I533" s="240"/>
      <c r="J533" s="240"/>
      <c r="K533" s="241"/>
      <c r="L533" s="49"/>
      <c r="M533" s="49"/>
      <c r="N533" s="49"/>
      <c r="O533" s="49"/>
      <c r="P533" s="49"/>
      <c r="Q533" s="49"/>
      <c r="R533" s="72"/>
      <c r="S533" s="49"/>
      <c r="T533" s="49">
        <v>0</v>
      </c>
      <c r="U533" s="49"/>
      <c r="V533" s="49"/>
      <c r="W533" s="49"/>
      <c r="X533" s="49"/>
      <c r="Y533" s="49"/>
      <c r="Z533" s="49"/>
      <c r="AA533" s="49">
        <v>0</v>
      </c>
      <c r="AB533" s="49"/>
      <c r="AC533" s="49">
        <f t="shared" si="117"/>
        <v>0</v>
      </c>
      <c r="AD533" s="49"/>
      <c r="AE533" s="49"/>
      <c r="AF533" s="49"/>
      <c r="AG533" s="49"/>
      <c r="AH533" s="49"/>
      <c r="AI533" s="49"/>
      <c r="AJ533" s="49"/>
      <c r="AK533" s="49"/>
      <c r="AL533" s="49"/>
      <c r="AM533" s="49"/>
      <c r="AN533" s="49"/>
      <c r="AO533" s="49"/>
      <c r="AP533" s="49"/>
      <c r="AQ533" s="49"/>
      <c r="AR533" s="49"/>
      <c r="AS533" s="49"/>
      <c r="AT533" s="49"/>
      <c r="AU533" s="49"/>
      <c r="AV533" s="49"/>
      <c r="AW533" s="49"/>
      <c r="AX533" s="49"/>
      <c r="AY533" s="49"/>
      <c r="AZ533" s="73">
        <f t="shared" si="115"/>
        <v>0</v>
      </c>
    </row>
    <row r="534" spans="1:53" ht="20.100000000000001" customHeight="1">
      <c r="A534" s="68"/>
      <c r="B534" s="69"/>
      <c r="C534" s="240" t="s">
        <v>734</v>
      </c>
      <c r="D534" s="240"/>
      <c r="E534" s="241"/>
      <c r="F534" s="70"/>
      <c r="G534" s="71"/>
      <c r="H534" s="71"/>
      <c r="I534" s="240" t="s">
        <v>145</v>
      </c>
      <c r="J534" s="240"/>
      <c r="K534" s="241"/>
      <c r="L534" s="49"/>
      <c r="M534" s="49"/>
      <c r="N534" s="49"/>
      <c r="O534" s="49"/>
      <c r="P534" s="49"/>
      <c r="Q534" s="49"/>
      <c r="R534" s="72"/>
      <c r="S534" s="49"/>
      <c r="T534" s="49">
        <v>0</v>
      </c>
      <c r="U534" s="49"/>
      <c r="V534" s="49"/>
      <c r="W534" s="49"/>
      <c r="X534" s="49"/>
      <c r="Y534" s="49"/>
      <c r="Z534" s="49"/>
      <c r="AA534" s="49">
        <v>0</v>
      </c>
      <c r="AB534" s="49"/>
      <c r="AC534" s="49">
        <f t="shared" si="117"/>
        <v>0</v>
      </c>
      <c r="AD534" s="49"/>
      <c r="AE534" s="49"/>
      <c r="AF534" s="49"/>
      <c r="AG534" s="49"/>
      <c r="AH534" s="49"/>
      <c r="AI534" s="49"/>
      <c r="AJ534" s="49"/>
      <c r="AK534" s="49"/>
      <c r="AL534" s="49"/>
      <c r="AM534" s="49"/>
      <c r="AN534" s="49"/>
      <c r="AO534" s="49"/>
      <c r="AP534" s="49"/>
      <c r="AQ534" s="49"/>
      <c r="AR534" s="49"/>
      <c r="AS534" s="49"/>
      <c r="AT534" s="49"/>
      <c r="AU534" s="49"/>
      <c r="AV534" s="49"/>
      <c r="AW534" s="49"/>
      <c r="AX534" s="49"/>
      <c r="AY534" s="49"/>
      <c r="AZ534" s="73">
        <f t="shared" si="115"/>
        <v>0</v>
      </c>
    </row>
    <row r="535" spans="1:53" ht="20.100000000000001" customHeight="1">
      <c r="A535" s="68"/>
      <c r="B535" s="69"/>
      <c r="C535" s="240" t="s">
        <v>735</v>
      </c>
      <c r="D535" s="240"/>
      <c r="E535" s="241"/>
      <c r="F535" s="70"/>
      <c r="G535" s="71"/>
      <c r="H535" s="71"/>
      <c r="I535" s="71"/>
      <c r="J535" s="240" t="s">
        <v>147</v>
      </c>
      <c r="K535" s="241"/>
      <c r="L535" s="49">
        <v>1585000</v>
      </c>
      <c r="M535" s="49">
        <v>1585000</v>
      </c>
      <c r="N535" s="49">
        <v>1584955</v>
      </c>
      <c r="O535" s="49"/>
      <c r="P535" s="49"/>
      <c r="Q535" s="49">
        <f>SUM(N535:P535)</f>
        <v>1584955</v>
      </c>
      <c r="R535" s="72">
        <f t="shared" si="119"/>
        <v>99.997160883280756</v>
      </c>
      <c r="S535" s="49">
        <f>M535-Q535</f>
        <v>45</v>
      </c>
      <c r="T535" s="49">
        <v>0</v>
      </c>
      <c r="U535" s="49">
        <f>T535+M535</f>
        <v>1585000</v>
      </c>
      <c r="V535" s="49">
        <f>T535+S535</f>
        <v>45</v>
      </c>
      <c r="W535" s="49"/>
      <c r="X535" s="49"/>
      <c r="Y535" s="49"/>
      <c r="Z535" s="49"/>
      <c r="AA535" s="49">
        <v>0</v>
      </c>
      <c r="AB535" s="49">
        <v>1585000</v>
      </c>
      <c r="AC535" s="49">
        <f t="shared" si="117"/>
        <v>0</v>
      </c>
      <c r="AD535" s="49">
        <f>AA535+T535+M535</f>
        <v>1585000</v>
      </c>
      <c r="AE535" s="49"/>
      <c r="AF535" s="49"/>
      <c r="AG535" s="49"/>
      <c r="AH535" s="49"/>
      <c r="AI535" s="49"/>
      <c r="AJ535" s="49"/>
      <c r="AK535" s="49">
        <f>Z535+Y535+X535+W535+N535+AG535+AE535+AJ535+AI535+AH535</f>
        <v>1584955</v>
      </c>
      <c r="AL535" s="49">
        <f>AK535/AD535*100</f>
        <v>99.997160883280756</v>
      </c>
      <c r="AM535" s="49"/>
      <c r="AN535" s="49"/>
      <c r="AO535" s="49"/>
      <c r="AP535" s="49"/>
      <c r="AQ535" s="49">
        <f>AK535+AM535+AN535+AO535+AP535</f>
        <v>1584955</v>
      </c>
      <c r="AR535" s="49">
        <f>AQ535/AB535*100</f>
        <v>99.997160883280756</v>
      </c>
      <c r="AS535" s="49">
        <f t="shared" si="113"/>
        <v>45</v>
      </c>
      <c r="AT535" s="49">
        <v>3091500</v>
      </c>
      <c r="AU535" s="49">
        <f t="shared" si="121"/>
        <v>4676500</v>
      </c>
      <c r="AV535" s="49">
        <f t="shared" si="122"/>
        <v>1584955</v>
      </c>
      <c r="AW535" s="72">
        <f t="shared" si="123"/>
        <v>33.891906340211698</v>
      </c>
      <c r="AX535" s="49">
        <f t="shared" si="124"/>
        <v>3091545</v>
      </c>
      <c r="AY535" s="49">
        <f t="shared" si="114"/>
        <v>2.8391167192429023E-3</v>
      </c>
      <c r="AZ535" s="73">
        <f t="shared" si="115"/>
        <v>1584955</v>
      </c>
    </row>
    <row r="536" spans="1:53" ht="20.100000000000001" customHeight="1">
      <c r="A536" s="68"/>
      <c r="B536" s="69"/>
      <c r="C536" s="240" t="s">
        <v>736</v>
      </c>
      <c r="D536" s="240"/>
      <c r="E536" s="241"/>
      <c r="F536" s="70"/>
      <c r="G536" s="71"/>
      <c r="H536" s="71"/>
      <c r="I536" s="240" t="s">
        <v>163</v>
      </c>
      <c r="J536" s="240"/>
      <c r="K536" s="241"/>
      <c r="L536" s="49"/>
      <c r="M536" s="49"/>
      <c r="N536" s="49"/>
      <c r="O536" s="49"/>
      <c r="P536" s="49"/>
      <c r="Q536" s="49"/>
      <c r="R536" s="72"/>
      <c r="S536" s="49"/>
      <c r="T536" s="49">
        <v>0</v>
      </c>
      <c r="U536" s="49"/>
      <c r="V536" s="49"/>
      <c r="W536" s="49"/>
      <c r="X536" s="49"/>
      <c r="Y536" s="49"/>
      <c r="Z536" s="49"/>
      <c r="AA536" s="49">
        <v>0</v>
      </c>
      <c r="AB536" s="49"/>
      <c r="AC536" s="49">
        <f t="shared" si="117"/>
        <v>0</v>
      </c>
      <c r="AD536" s="49"/>
      <c r="AE536" s="49"/>
      <c r="AF536" s="49"/>
      <c r="AG536" s="49"/>
      <c r="AH536" s="49"/>
      <c r="AI536" s="49"/>
      <c r="AJ536" s="49"/>
      <c r="AK536" s="49"/>
      <c r="AL536" s="49"/>
      <c r="AM536" s="49"/>
      <c r="AN536" s="49"/>
      <c r="AO536" s="49"/>
      <c r="AP536" s="49"/>
      <c r="AQ536" s="49"/>
      <c r="AR536" s="49"/>
      <c r="AS536" s="49"/>
      <c r="AT536" s="49"/>
      <c r="AU536" s="49"/>
      <c r="AV536" s="49"/>
      <c r="AW536" s="49"/>
      <c r="AX536" s="49"/>
      <c r="AY536" s="49"/>
      <c r="AZ536" s="73">
        <f t="shared" si="115"/>
        <v>0</v>
      </c>
    </row>
    <row r="537" spans="1:53" ht="20.100000000000001" customHeight="1">
      <c r="A537" s="68"/>
      <c r="B537" s="69"/>
      <c r="C537" s="240" t="s">
        <v>737</v>
      </c>
      <c r="D537" s="240"/>
      <c r="E537" s="241"/>
      <c r="F537" s="70"/>
      <c r="G537" s="71"/>
      <c r="H537" s="71"/>
      <c r="I537" s="71"/>
      <c r="J537" s="240" t="s">
        <v>349</v>
      </c>
      <c r="K537" s="241"/>
      <c r="L537" s="49">
        <v>600000</v>
      </c>
      <c r="M537" s="49">
        <v>600000</v>
      </c>
      <c r="N537" s="49">
        <v>600000</v>
      </c>
      <c r="O537" s="49"/>
      <c r="P537" s="49"/>
      <c r="Q537" s="49">
        <f>SUM(N537:P537)</f>
        <v>600000</v>
      </c>
      <c r="R537" s="72">
        <f t="shared" si="119"/>
        <v>100</v>
      </c>
      <c r="S537" s="49">
        <f>M537-Q537</f>
        <v>0</v>
      </c>
      <c r="T537" s="49">
        <v>0</v>
      </c>
      <c r="U537" s="49">
        <f>T537+M537</f>
        <v>600000</v>
      </c>
      <c r="V537" s="49">
        <f>T537+S537</f>
        <v>0</v>
      </c>
      <c r="W537" s="49"/>
      <c r="X537" s="49"/>
      <c r="Y537" s="49"/>
      <c r="Z537" s="49"/>
      <c r="AA537" s="49">
        <v>0</v>
      </c>
      <c r="AB537" s="49">
        <v>600000</v>
      </c>
      <c r="AC537" s="49">
        <f t="shared" si="117"/>
        <v>0</v>
      </c>
      <c r="AD537" s="49">
        <f>AA537+T537+M537</f>
        <v>600000</v>
      </c>
      <c r="AE537" s="49"/>
      <c r="AF537" s="49"/>
      <c r="AG537" s="49"/>
      <c r="AH537" s="49"/>
      <c r="AI537" s="49"/>
      <c r="AJ537" s="49"/>
      <c r="AK537" s="49">
        <f>Z537+Y537+X537+W537+N537+AG537+AE537+AJ537+AI537+AH537</f>
        <v>600000</v>
      </c>
      <c r="AL537" s="49">
        <f>AK537/AD537*100</f>
        <v>100</v>
      </c>
      <c r="AM537" s="49"/>
      <c r="AN537" s="49"/>
      <c r="AO537" s="49"/>
      <c r="AP537" s="49"/>
      <c r="AQ537" s="49">
        <f>AK537+AM537+AN537+AO537+AP537</f>
        <v>600000</v>
      </c>
      <c r="AR537" s="49">
        <f>AQ537/AB537*100</f>
        <v>100</v>
      </c>
      <c r="AS537" s="49">
        <f t="shared" si="113"/>
        <v>0</v>
      </c>
      <c r="AT537" s="49">
        <v>3091500</v>
      </c>
      <c r="AU537" s="49">
        <f t="shared" si="121"/>
        <v>3691500</v>
      </c>
      <c r="AV537" s="49">
        <f t="shared" si="122"/>
        <v>600000</v>
      </c>
      <c r="AW537" s="72">
        <f t="shared" si="123"/>
        <v>16.253555465258025</v>
      </c>
      <c r="AX537" s="49">
        <f t="shared" si="124"/>
        <v>3091500</v>
      </c>
      <c r="AY537" s="49">
        <f t="shared" si="114"/>
        <v>0</v>
      </c>
      <c r="AZ537" s="73">
        <f t="shared" si="115"/>
        <v>600000</v>
      </c>
    </row>
    <row r="538" spans="1:53" ht="20.100000000000001" customHeight="1">
      <c r="A538" s="68"/>
      <c r="B538" s="69"/>
      <c r="C538" s="240" t="s">
        <v>738</v>
      </c>
      <c r="D538" s="240"/>
      <c r="E538" s="241"/>
      <c r="F538" s="70"/>
      <c r="G538" s="71"/>
      <c r="H538" s="71"/>
      <c r="I538" s="71"/>
      <c r="J538" s="240" t="s">
        <v>352</v>
      </c>
      <c r="K538" s="241"/>
      <c r="L538" s="49">
        <v>8000000</v>
      </c>
      <c r="M538" s="49">
        <v>8000000</v>
      </c>
      <c r="N538" s="49">
        <v>8000000</v>
      </c>
      <c r="O538" s="49"/>
      <c r="P538" s="49"/>
      <c r="Q538" s="49">
        <f>SUM(N538:P538)</f>
        <v>8000000</v>
      </c>
      <c r="R538" s="72">
        <f t="shared" si="119"/>
        <v>100</v>
      </c>
      <c r="S538" s="49">
        <f>M538-Q538</f>
        <v>0</v>
      </c>
      <c r="T538" s="49">
        <v>0</v>
      </c>
      <c r="U538" s="49">
        <f>T538+M538</f>
        <v>8000000</v>
      </c>
      <c r="V538" s="49">
        <f>T538+S538</f>
        <v>0</v>
      </c>
      <c r="W538" s="49"/>
      <c r="X538" s="49"/>
      <c r="Y538" s="49"/>
      <c r="Z538" s="49"/>
      <c r="AA538" s="49">
        <v>0</v>
      </c>
      <c r="AB538" s="49">
        <v>8000000</v>
      </c>
      <c r="AC538" s="49">
        <f t="shared" si="117"/>
        <v>0</v>
      </c>
      <c r="AD538" s="49">
        <f>AA538+T538+M538</f>
        <v>8000000</v>
      </c>
      <c r="AE538" s="49"/>
      <c r="AF538" s="49"/>
      <c r="AG538" s="49"/>
      <c r="AH538" s="49"/>
      <c r="AI538" s="49"/>
      <c r="AJ538" s="49"/>
      <c r="AK538" s="49">
        <f>Z538+Y538+X538+W538+N538+AG538+AE538+AJ538+AI538+AH538</f>
        <v>8000000</v>
      </c>
      <c r="AL538" s="49">
        <f>AK538/AD538*100</f>
        <v>100</v>
      </c>
      <c r="AM538" s="49"/>
      <c r="AN538" s="49"/>
      <c r="AO538" s="49"/>
      <c r="AP538" s="49"/>
      <c r="AQ538" s="49">
        <f>AK538+AM538+AN538+AO538+AP538</f>
        <v>8000000</v>
      </c>
      <c r="AR538" s="49">
        <f>AQ538/AB538*100</f>
        <v>100</v>
      </c>
      <c r="AS538" s="49">
        <f t="shared" si="113"/>
        <v>0</v>
      </c>
      <c r="AT538" s="49">
        <v>3091500</v>
      </c>
      <c r="AU538" s="49">
        <f t="shared" si="121"/>
        <v>11091500</v>
      </c>
      <c r="AV538" s="49">
        <f t="shared" si="122"/>
        <v>8000000</v>
      </c>
      <c r="AW538" s="72">
        <f t="shared" si="123"/>
        <v>72.127304692782758</v>
      </c>
      <c r="AX538" s="49">
        <f t="shared" si="124"/>
        <v>3091500</v>
      </c>
      <c r="AY538" s="49">
        <f t="shared" si="114"/>
        <v>0</v>
      </c>
      <c r="AZ538" s="73">
        <f t="shared" si="115"/>
        <v>8000000</v>
      </c>
    </row>
    <row r="539" spans="1:53" ht="20.100000000000001" customHeight="1">
      <c r="A539" s="68"/>
      <c r="B539" s="69"/>
      <c r="C539" s="240" t="s">
        <v>739</v>
      </c>
      <c r="D539" s="240"/>
      <c r="E539" s="241"/>
      <c r="F539" s="70"/>
      <c r="G539" s="71"/>
      <c r="H539" s="71"/>
      <c r="I539" s="240" t="s">
        <v>151</v>
      </c>
      <c r="J539" s="240"/>
      <c r="K539" s="241"/>
      <c r="L539" s="49"/>
      <c r="M539" s="49"/>
      <c r="N539" s="49"/>
      <c r="O539" s="49"/>
      <c r="P539" s="49"/>
      <c r="Q539" s="49"/>
      <c r="R539" s="72"/>
      <c r="S539" s="49"/>
      <c r="T539" s="49">
        <v>0</v>
      </c>
      <c r="U539" s="49">
        <f>T539+M539</f>
        <v>0</v>
      </c>
      <c r="V539" s="49">
        <f>T539+S539</f>
        <v>0</v>
      </c>
      <c r="W539" s="49"/>
      <c r="X539" s="49"/>
      <c r="Y539" s="49"/>
      <c r="Z539" s="49"/>
      <c r="AA539" s="49">
        <v>0</v>
      </c>
      <c r="AB539" s="49"/>
      <c r="AC539" s="49">
        <f t="shared" si="117"/>
        <v>0</v>
      </c>
      <c r="AD539" s="49"/>
      <c r="AE539" s="49"/>
      <c r="AF539" s="49"/>
      <c r="AG539" s="49"/>
      <c r="AH539" s="49"/>
      <c r="AI539" s="49"/>
      <c r="AJ539" s="49"/>
      <c r="AK539" s="49"/>
      <c r="AL539" s="49"/>
      <c r="AM539" s="49"/>
      <c r="AN539" s="49"/>
      <c r="AO539" s="49"/>
      <c r="AP539" s="49"/>
      <c r="AQ539" s="49"/>
      <c r="AR539" s="49"/>
      <c r="AS539" s="49"/>
      <c r="AT539" s="49"/>
      <c r="AU539" s="49"/>
      <c r="AV539" s="49"/>
      <c r="AW539" s="49"/>
      <c r="AX539" s="49"/>
      <c r="AY539" s="49"/>
      <c r="AZ539" s="73">
        <f t="shared" si="115"/>
        <v>0</v>
      </c>
    </row>
    <row r="540" spans="1:53" ht="20.100000000000001" customHeight="1">
      <c r="A540" s="68"/>
      <c r="B540" s="69"/>
      <c r="C540" s="240" t="s">
        <v>740</v>
      </c>
      <c r="D540" s="240"/>
      <c r="E540" s="241"/>
      <c r="F540" s="70"/>
      <c r="G540" s="71"/>
      <c r="H540" s="71"/>
      <c r="I540" s="71"/>
      <c r="J540" s="240" t="s">
        <v>155</v>
      </c>
      <c r="K540" s="241"/>
      <c r="L540" s="49">
        <v>1200000</v>
      </c>
      <c r="M540" s="49">
        <v>1200000</v>
      </c>
      <c r="N540" s="49">
        <v>1199975</v>
      </c>
      <c r="O540" s="49"/>
      <c r="P540" s="49"/>
      <c r="Q540" s="49">
        <f>SUM(N540:P540)</f>
        <v>1199975</v>
      </c>
      <c r="R540" s="72">
        <f t="shared" si="119"/>
        <v>99.997916666666669</v>
      </c>
      <c r="S540" s="49">
        <f>M540-Q540</f>
        <v>25</v>
      </c>
      <c r="T540" s="49">
        <v>0</v>
      </c>
      <c r="U540" s="49">
        <f>T540+M540</f>
        <v>1200000</v>
      </c>
      <c r="V540" s="49">
        <f>T540+S540</f>
        <v>25</v>
      </c>
      <c r="W540" s="49"/>
      <c r="X540" s="49"/>
      <c r="Y540" s="49"/>
      <c r="Z540" s="49"/>
      <c r="AA540" s="49">
        <v>0</v>
      </c>
      <c r="AB540" s="49">
        <v>1200000</v>
      </c>
      <c r="AC540" s="49">
        <f t="shared" si="117"/>
        <v>0</v>
      </c>
      <c r="AD540" s="49">
        <f>AA540+T540+M540</f>
        <v>1200000</v>
      </c>
      <c r="AE540" s="49"/>
      <c r="AF540" s="49"/>
      <c r="AG540" s="49"/>
      <c r="AH540" s="49"/>
      <c r="AI540" s="49"/>
      <c r="AJ540" s="49"/>
      <c r="AK540" s="49">
        <f>Z540+Y540+X540+W540+N540+AG540+AE540+AJ540+AI540+AH540</f>
        <v>1199975</v>
      </c>
      <c r="AL540" s="49">
        <f>AK540/AD540*100</f>
        <v>99.997916666666669</v>
      </c>
      <c r="AM540" s="49"/>
      <c r="AN540" s="49"/>
      <c r="AO540" s="49"/>
      <c r="AP540" s="49"/>
      <c r="AQ540" s="49">
        <f>AK540+AM540+AN540+AO540+AP540</f>
        <v>1199975</v>
      </c>
      <c r="AR540" s="49">
        <f>AQ540/AB540*100</f>
        <v>99.997916666666669</v>
      </c>
      <c r="AS540" s="49">
        <f t="shared" si="113"/>
        <v>25</v>
      </c>
      <c r="AT540" s="49">
        <v>3091500</v>
      </c>
      <c r="AU540" s="49">
        <f t="shared" si="121"/>
        <v>4291500</v>
      </c>
      <c r="AV540" s="49">
        <f t="shared" si="122"/>
        <v>1199975</v>
      </c>
      <c r="AW540" s="72">
        <f t="shared" si="123"/>
        <v>27.961668414307351</v>
      </c>
      <c r="AX540" s="49">
        <f t="shared" si="124"/>
        <v>3091525</v>
      </c>
      <c r="AY540" s="49">
        <f t="shared" si="114"/>
        <v>2.0833333333333333E-3</v>
      </c>
      <c r="AZ540" s="73">
        <f t="shared" si="115"/>
        <v>1199975</v>
      </c>
    </row>
    <row r="541" spans="1:53" ht="20.100000000000001" customHeight="1">
      <c r="A541" s="68"/>
      <c r="B541" s="69"/>
      <c r="C541" s="240" t="s">
        <v>741</v>
      </c>
      <c r="D541" s="240"/>
      <c r="E541" s="241"/>
      <c r="F541" s="70"/>
      <c r="G541" s="71"/>
      <c r="H541" s="71"/>
      <c r="I541" s="240" t="s">
        <v>193</v>
      </c>
      <c r="J541" s="240"/>
      <c r="K541" s="241"/>
      <c r="L541" s="49"/>
      <c r="M541" s="49"/>
      <c r="N541" s="49"/>
      <c r="O541" s="49"/>
      <c r="P541" s="49"/>
      <c r="Q541" s="49"/>
      <c r="R541" s="72"/>
      <c r="S541" s="49"/>
      <c r="T541" s="49">
        <v>0</v>
      </c>
      <c r="U541" s="49"/>
      <c r="V541" s="49"/>
      <c r="W541" s="49"/>
      <c r="X541" s="49"/>
      <c r="Y541" s="49"/>
      <c r="Z541" s="49"/>
      <c r="AA541" s="49">
        <v>0</v>
      </c>
      <c r="AB541" s="49"/>
      <c r="AC541" s="49">
        <f t="shared" si="117"/>
        <v>0</v>
      </c>
      <c r="AD541" s="49"/>
      <c r="AE541" s="49"/>
      <c r="AF541" s="49"/>
      <c r="AG541" s="49"/>
      <c r="AH541" s="49"/>
      <c r="AI541" s="49"/>
      <c r="AJ541" s="49"/>
      <c r="AK541" s="49"/>
      <c r="AL541" s="49"/>
      <c r="AM541" s="49"/>
      <c r="AN541" s="49"/>
      <c r="AO541" s="49"/>
      <c r="AP541" s="49"/>
      <c r="AQ541" s="49"/>
      <c r="AR541" s="49"/>
      <c r="AS541" s="49"/>
      <c r="AT541" s="49"/>
      <c r="AU541" s="49"/>
      <c r="AV541" s="49"/>
      <c r="AW541" s="49"/>
      <c r="AX541" s="49"/>
      <c r="AY541" s="49"/>
      <c r="AZ541" s="73">
        <f t="shared" si="115"/>
        <v>0</v>
      </c>
    </row>
    <row r="542" spans="1:53" ht="20.100000000000001" customHeight="1">
      <c r="A542" s="68"/>
      <c r="B542" s="69"/>
      <c r="C542" s="240" t="s">
        <v>742</v>
      </c>
      <c r="D542" s="240"/>
      <c r="E542" s="241"/>
      <c r="F542" s="70"/>
      <c r="G542" s="71"/>
      <c r="H542" s="71"/>
      <c r="I542" s="71"/>
      <c r="J542" s="240" t="s">
        <v>195</v>
      </c>
      <c r="K542" s="241"/>
      <c r="L542" s="49">
        <v>8330000</v>
      </c>
      <c r="M542" s="49">
        <v>8330000</v>
      </c>
      <c r="N542" s="49">
        <v>8330000</v>
      </c>
      <c r="O542" s="49"/>
      <c r="P542" s="49"/>
      <c r="Q542" s="49">
        <f>SUM(N542:P542)</f>
        <v>8330000</v>
      </c>
      <c r="R542" s="72">
        <f t="shared" si="119"/>
        <v>100</v>
      </c>
      <c r="S542" s="49">
        <f>M542-Q542</f>
        <v>0</v>
      </c>
      <c r="T542" s="49">
        <v>0</v>
      </c>
      <c r="U542" s="49">
        <f>T542+M542</f>
        <v>8330000</v>
      </c>
      <c r="V542" s="49">
        <f>T542+S542</f>
        <v>0</v>
      </c>
      <c r="W542" s="49"/>
      <c r="X542" s="49"/>
      <c r="Y542" s="49"/>
      <c r="Z542" s="49"/>
      <c r="AA542" s="49">
        <v>0</v>
      </c>
      <c r="AB542" s="49">
        <v>8330000</v>
      </c>
      <c r="AC542" s="49">
        <f t="shared" si="117"/>
        <v>0</v>
      </c>
      <c r="AD542" s="49">
        <f>AA542+T542+M542</f>
        <v>8330000</v>
      </c>
      <c r="AE542" s="49"/>
      <c r="AF542" s="49"/>
      <c r="AG542" s="49"/>
      <c r="AH542" s="49"/>
      <c r="AI542" s="49"/>
      <c r="AJ542" s="49"/>
      <c r="AK542" s="49">
        <f>Z542+Y542+X542+W542+N542+AG542+AE542+AJ542+AI542+AH542</f>
        <v>8330000</v>
      </c>
      <c r="AL542" s="49">
        <f>AK542/AD542*100</f>
        <v>100</v>
      </c>
      <c r="AM542" s="49"/>
      <c r="AN542" s="49"/>
      <c r="AO542" s="49"/>
      <c r="AP542" s="49"/>
      <c r="AQ542" s="49">
        <f>AK542+AM542+AN542+AO542+AP542</f>
        <v>8330000</v>
      </c>
      <c r="AR542" s="49">
        <f>AQ542/AB542*100</f>
        <v>100</v>
      </c>
      <c r="AS542" s="49">
        <f t="shared" si="113"/>
        <v>0</v>
      </c>
      <c r="AT542" s="49">
        <v>3091500</v>
      </c>
      <c r="AU542" s="49">
        <f t="shared" si="121"/>
        <v>11421500</v>
      </c>
      <c r="AV542" s="49">
        <f t="shared" si="122"/>
        <v>8330000</v>
      </c>
      <c r="AW542" s="72">
        <f t="shared" si="123"/>
        <v>72.932627062995223</v>
      </c>
      <c r="AX542" s="49">
        <f t="shared" si="124"/>
        <v>3091500</v>
      </c>
      <c r="AY542" s="49">
        <f t="shared" si="114"/>
        <v>0</v>
      </c>
      <c r="AZ542" s="73">
        <f t="shared" si="115"/>
        <v>8330000</v>
      </c>
    </row>
    <row r="543" spans="1:53" ht="20.100000000000001" customHeight="1">
      <c r="A543" s="68"/>
      <c r="B543" s="69"/>
      <c r="C543" s="240" t="s">
        <v>743</v>
      </c>
      <c r="D543" s="240"/>
      <c r="E543" s="241"/>
      <c r="F543" s="70"/>
      <c r="G543" s="71"/>
      <c r="H543" s="71"/>
      <c r="I543" s="240" t="s">
        <v>157</v>
      </c>
      <c r="J543" s="240"/>
      <c r="K543" s="241"/>
      <c r="L543" s="49"/>
      <c r="M543" s="49"/>
      <c r="N543" s="49"/>
      <c r="O543" s="49"/>
      <c r="P543" s="49"/>
      <c r="Q543" s="49"/>
      <c r="R543" s="72"/>
      <c r="S543" s="49"/>
      <c r="T543" s="49">
        <v>0</v>
      </c>
      <c r="U543" s="49"/>
      <c r="V543" s="49"/>
      <c r="W543" s="49"/>
      <c r="X543" s="49"/>
      <c r="Y543" s="49"/>
      <c r="Z543" s="49"/>
      <c r="AA543" s="49">
        <v>0</v>
      </c>
      <c r="AB543" s="49"/>
      <c r="AC543" s="49">
        <f t="shared" si="117"/>
        <v>0</v>
      </c>
      <c r="AD543" s="49"/>
      <c r="AE543" s="49"/>
      <c r="AF543" s="49"/>
      <c r="AG543" s="49"/>
      <c r="AH543" s="49"/>
      <c r="AI543" s="49"/>
      <c r="AJ543" s="49"/>
      <c r="AK543" s="49"/>
      <c r="AL543" s="49"/>
      <c r="AM543" s="49"/>
      <c r="AN543" s="49"/>
      <c r="AO543" s="49"/>
      <c r="AP543" s="49"/>
      <c r="AQ543" s="49"/>
      <c r="AR543" s="49"/>
      <c r="AS543" s="49"/>
      <c r="AT543" s="49"/>
      <c r="AU543" s="49"/>
      <c r="AV543" s="49"/>
      <c r="AW543" s="49"/>
      <c r="AX543" s="49"/>
      <c r="AY543" s="49"/>
      <c r="AZ543" s="73">
        <f t="shared" si="115"/>
        <v>0</v>
      </c>
    </row>
    <row r="544" spans="1:53" ht="20.100000000000001" customHeight="1">
      <c r="A544" s="68"/>
      <c r="B544" s="69"/>
      <c r="C544" s="240" t="s">
        <v>744</v>
      </c>
      <c r="D544" s="240"/>
      <c r="E544" s="241"/>
      <c r="F544" s="70"/>
      <c r="G544" s="71"/>
      <c r="H544" s="71"/>
      <c r="I544" s="71"/>
      <c r="J544" s="240" t="s">
        <v>159</v>
      </c>
      <c r="K544" s="241"/>
      <c r="L544" s="49">
        <v>6130000</v>
      </c>
      <c r="M544" s="49">
        <v>6130000</v>
      </c>
      <c r="N544" s="49">
        <v>6130000</v>
      </c>
      <c r="O544" s="49"/>
      <c r="P544" s="49"/>
      <c r="Q544" s="49">
        <f>SUM(N544:P544)</f>
        <v>6130000</v>
      </c>
      <c r="R544" s="72">
        <f t="shared" si="119"/>
        <v>100</v>
      </c>
      <c r="S544" s="49">
        <f>M544-Q544</f>
        <v>0</v>
      </c>
      <c r="T544" s="49">
        <v>0</v>
      </c>
      <c r="U544" s="49">
        <f>T544+M544</f>
        <v>6130000</v>
      </c>
      <c r="V544" s="49">
        <f>T544+S544</f>
        <v>0</v>
      </c>
      <c r="W544" s="49"/>
      <c r="X544" s="49"/>
      <c r="Y544" s="49"/>
      <c r="Z544" s="49"/>
      <c r="AA544" s="49">
        <v>0</v>
      </c>
      <c r="AB544" s="49">
        <v>6130000</v>
      </c>
      <c r="AC544" s="49">
        <f t="shared" si="117"/>
        <v>0</v>
      </c>
      <c r="AD544" s="49">
        <f>AA544+T544+M544</f>
        <v>6130000</v>
      </c>
      <c r="AE544" s="49"/>
      <c r="AF544" s="49"/>
      <c r="AG544" s="49"/>
      <c r="AH544" s="49"/>
      <c r="AI544" s="49"/>
      <c r="AJ544" s="49"/>
      <c r="AK544" s="49">
        <f>Z544+Y544+X544+W544+N544+AG544+AE544+AJ544+AI544+AH544</f>
        <v>6130000</v>
      </c>
      <c r="AL544" s="49">
        <f>AK544/AD544*100</f>
        <v>100</v>
      </c>
      <c r="AM544" s="49"/>
      <c r="AN544" s="49"/>
      <c r="AO544" s="49"/>
      <c r="AP544" s="49"/>
      <c r="AQ544" s="49">
        <f>AK544+AM544+AN544+AO544+AP544</f>
        <v>6130000</v>
      </c>
      <c r="AR544" s="49">
        <f>AQ544/AB544*100</f>
        <v>100</v>
      </c>
      <c r="AS544" s="49">
        <f t="shared" si="113"/>
        <v>0</v>
      </c>
      <c r="AT544" s="49">
        <v>3091500</v>
      </c>
      <c r="AU544" s="49">
        <f t="shared" si="121"/>
        <v>9221500</v>
      </c>
      <c r="AV544" s="49">
        <f t="shared" si="122"/>
        <v>6130000</v>
      </c>
      <c r="AW544" s="72">
        <f t="shared" si="123"/>
        <v>66.47508539825408</v>
      </c>
      <c r="AX544" s="49">
        <f t="shared" si="124"/>
        <v>3091500</v>
      </c>
      <c r="AY544" s="49">
        <f t="shared" si="114"/>
        <v>0</v>
      </c>
      <c r="AZ544" s="73">
        <f t="shared" si="115"/>
        <v>6130000</v>
      </c>
    </row>
    <row r="545" spans="1:54" ht="20.100000000000001" customHeight="1">
      <c r="A545" s="68"/>
      <c r="B545" s="69"/>
      <c r="C545" s="240" t="s">
        <v>745</v>
      </c>
      <c r="D545" s="240"/>
      <c r="E545" s="241"/>
      <c r="F545" s="70"/>
      <c r="G545" s="71"/>
      <c r="H545" s="71"/>
      <c r="I545" s="71"/>
      <c r="J545" s="240" t="s">
        <v>207</v>
      </c>
      <c r="K545" s="241"/>
      <c r="L545" s="49">
        <v>6675000</v>
      </c>
      <c r="M545" s="49">
        <v>6675000</v>
      </c>
      <c r="N545" s="49">
        <v>6660000</v>
      </c>
      <c r="O545" s="49"/>
      <c r="P545" s="49"/>
      <c r="Q545" s="49">
        <f>SUM(N545:P545)</f>
        <v>6660000</v>
      </c>
      <c r="R545" s="72">
        <f t="shared" si="119"/>
        <v>99.775280898876403</v>
      </c>
      <c r="S545" s="49">
        <f>M545-Q545</f>
        <v>15000</v>
      </c>
      <c r="T545" s="49">
        <v>0</v>
      </c>
      <c r="U545" s="49">
        <f>T545+M545</f>
        <v>6675000</v>
      </c>
      <c r="V545" s="49">
        <f>T545+S545</f>
        <v>15000</v>
      </c>
      <c r="W545" s="49"/>
      <c r="X545" s="49"/>
      <c r="Y545" s="49"/>
      <c r="Z545" s="49"/>
      <c r="AA545" s="49">
        <v>0</v>
      </c>
      <c r="AB545" s="49">
        <v>6675000</v>
      </c>
      <c r="AC545" s="49">
        <f t="shared" si="117"/>
        <v>0</v>
      </c>
      <c r="AD545" s="49">
        <f>AA545+T545+M545</f>
        <v>6675000</v>
      </c>
      <c r="AE545" s="49"/>
      <c r="AF545" s="49"/>
      <c r="AG545" s="49"/>
      <c r="AH545" s="49"/>
      <c r="AI545" s="49"/>
      <c r="AJ545" s="49"/>
      <c r="AK545" s="49">
        <f>Z545+Y545+X545+W545+N545+AG545+AE545+AJ545+AI545+AH545</f>
        <v>6660000</v>
      </c>
      <c r="AL545" s="49">
        <f>AK545/AD545*100</f>
        <v>99.775280898876403</v>
      </c>
      <c r="AM545" s="49"/>
      <c r="AN545" s="49"/>
      <c r="AO545" s="49"/>
      <c r="AP545" s="49"/>
      <c r="AQ545" s="49">
        <f>AK545+AM545+AN545+AO545+AP545</f>
        <v>6660000</v>
      </c>
      <c r="AR545" s="49">
        <f>AQ545/AB545*100</f>
        <v>99.775280898876403</v>
      </c>
      <c r="AS545" s="49">
        <f t="shared" si="113"/>
        <v>15000</v>
      </c>
      <c r="AT545" s="49">
        <v>3091500</v>
      </c>
      <c r="AU545" s="49">
        <f t="shared" si="121"/>
        <v>9766500</v>
      </c>
      <c r="AV545" s="49">
        <f t="shared" si="122"/>
        <v>6660000</v>
      </c>
      <c r="AW545" s="72">
        <f t="shared" si="123"/>
        <v>68.192289970818607</v>
      </c>
      <c r="AX545" s="49">
        <f t="shared" si="124"/>
        <v>3106500</v>
      </c>
      <c r="AY545" s="49">
        <f>AS545/AB545*100</f>
        <v>0.22471910112359553</v>
      </c>
      <c r="AZ545" s="73">
        <f t="shared" si="115"/>
        <v>6660000</v>
      </c>
    </row>
    <row r="546" spans="1:54" ht="20.100000000000001" customHeight="1">
      <c r="A546" s="68"/>
      <c r="B546" s="69"/>
      <c r="C546" s="240" t="s">
        <v>746</v>
      </c>
      <c r="D546" s="240"/>
      <c r="E546" s="241"/>
      <c r="F546" s="70"/>
      <c r="G546" s="71"/>
      <c r="H546" s="71"/>
      <c r="I546" s="240" t="s">
        <v>402</v>
      </c>
      <c r="J546" s="240"/>
      <c r="K546" s="241"/>
      <c r="L546" s="49"/>
      <c r="M546" s="49"/>
      <c r="N546" s="49"/>
      <c r="O546" s="49" t="s">
        <v>48</v>
      </c>
      <c r="P546" s="49"/>
      <c r="Q546" s="49"/>
      <c r="R546" s="72"/>
      <c r="S546" s="49"/>
      <c r="T546" s="49">
        <v>0</v>
      </c>
      <c r="U546" s="49"/>
      <c r="V546" s="49"/>
      <c r="W546" s="49" t="s">
        <v>48</v>
      </c>
      <c r="X546" s="49"/>
      <c r="Y546" s="49"/>
      <c r="Z546" s="49"/>
      <c r="AA546" s="49">
        <v>0</v>
      </c>
      <c r="AB546" s="49"/>
      <c r="AC546" s="49">
        <f t="shared" si="117"/>
        <v>0</v>
      </c>
      <c r="AD546" s="49"/>
      <c r="AE546" s="49"/>
      <c r="AF546" s="49"/>
      <c r="AG546" s="49" t="s">
        <v>48</v>
      </c>
      <c r="AH546" s="49" t="s">
        <v>48</v>
      </c>
      <c r="AI546" s="49" t="s">
        <v>48</v>
      </c>
      <c r="AJ546" s="49" t="s">
        <v>48</v>
      </c>
      <c r="AK546" s="49"/>
      <c r="AL546" s="49"/>
      <c r="AM546" s="49"/>
      <c r="AN546" s="49"/>
      <c r="AO546" s="49"/>
      <c r="AP546" s="49"/>
      <c r="AQ546" s="49"/>
      <c r="AR546" s="49"/>
      <c r="AS546" s="49"/>
      <c r="AT546" s="49"/>
      <c r="AU546" s="49"/>
      <c r="AV546" s="49"/>
      <c r="AW546" s="49"/>
      <c r="AX546" s="49"/>
      <c r="AY546" s="49"/>
      <c r="AZ546" s="73">
        <f t="shared" si="115"/>
        <v>0</v>
      </c>
    </row>
    <row r="547" spans="1:54" ht="20.100000000000001" customHeight="1">
      <c r="A547" s="68"/>
      <c r="B547" s="69"/>
      <c r="C547" s="240" t="s">
        <v>747</v>
      </c>
      <c r="D547" s="240"/>
      <c r="E547" s="241"/>
      <c r="F547" s="70"/>
      <c r="G547" s="71"/>
      <c r="H547" s="71"/>
      <c r="I547" s="71"/>
      <c r="J547" s="240" t="s">
        <v>404</v>
      </c>
      <c r="K547" s="241"/>
      <c r="L547" s="49">
        <v>7300000</v>
      </c>
      <c r="M547" s="49">
        <v>7300000</v>
      </c>
      <c r="N547" s="49">
        <v>7300000</v>
      </c>
      <c r="O547" s="49"/>
      <c r="P547" s="49"/>
      <c r="Q547" s="49">
        <f>SUM(N547:P547)</f>
        <v>7300000</v>
      </c>
      <c r="R547" s="72">
        <f t="shared" si="119"/>
        <v>100</v>
      </c>
      <c r="S547" s="49">
        <f>M547-Q547</f>
        <v>0</v>
      </c>
      <c r="T547" s="49">
        <v>0</v>
      </c>
      <c r="U547" s="49">
        <f>T547+M547</f>
        <v>7300000</v>
      </c>
      <c r="V547" s="49">
        <f>T547+S547</f>
        <v>0</v>
      </c>
      <c r="W547" s="49"/>
      <c r="X547" s="49"/>
      <c r="Y547" s="49"/>
      <c r="Z547" s="49"/>
      <c r="AA547" s="49">
        <v>0</v>
      </c>
      <c r="AB547" s="49">
        <v>7300000</v>
      </c>
      <c r="AC547" s="49">
        <f t="shared" si="117"/>
        <v>0</v>
      </c>
      <c r="AD547" s="49">
        <f>AA547+T547+M547</f>
        <v>7300000</v>
      </c>
      <c r="AE547" s="49"/>
      <c r="AF547" s="49"/>
      <c r="AG547" s="49"/>
      <c r="AH547" s="49"/>
      <c r="AI547" s="49"/>
      <c r="AJ547" s="49"/>
      <c r="AK547" s="49">
        <f>Z547+Y547+X547+W547+N547+AG547+AE547+AJ547+AI547+AH547</f>
        <v>7300000</v>
      </c>
      <c r="AL547" s="49">
        <f>AK547/AD547*100</f>
        <v>100</v>
      </c>
      <c r="AM547" s="49"/>
      <c r="AN547" s="49"/>
      <c r="AO547" s="49"/>
      <c r="AP547" s="49"/>
      <c r="AQ547" s="49">
        <f>AK547+AM547+AN547+AO547+AP547</f>
        <v>7300000</v>
      </c>
      <c r="AR547" s="49">
        <f>AQ547/AB547*100</f>
        <v>100</v>
      </c>
      <c r="AS547" s="49">
        <f t="shared" ref="AS547:AS606" si="125">AB547-AQ547</f>
        <v>0</v>
      </c>
      <c r="AT547" s="49">
        <v>3091500</v>
      </c>
      <c r="AU547" s="49">
        <f t="shared" si="121"/>
        <v>10391500</v>
      </c>
      <c r="AV547" s="49">
        <f t="shared" si="122"/>
        <v>7300000</v>
      </c>
      <c r="AW547" s="72">
        <f t="shared" si="123"/>
        <v>70.249723331569072</v>
      </c>
      <c r="AX547" s="49">
        <f t="shared" si="124"/>
        <v>3091500</v>
      </c>
      <c r="AY547" s="49">
        <f t="shared" ref="AY547:AY606" si="126">AS547/AB547*100</f>
        <v>0</v>
      </c>
      <c r="AZ547" s="73">
        <f t="shared" si="115"/>
        <v>7300000</v>
      </c>
    </row>
    <row r="548" spans="1:54" ht="20.100000000000001" customHeight="1">
      <c r="A548" s="60" t="s">
        <v>748</v>
      </c>
      <c r="B548" s="75"/>
      <c r="C548" s="247" t="s">
        <v>749</v>
      </c>
      <c r="D548" s="247"/>
      <c r="E548" s="248"/>
      <c r="F548" s="249" t="s">
        <v>750</v>
      </c>
      <c r="G548" s="250"/>
      <c r="H548" s="250"/>
      <c r="I548" s="250"/>
      <c r="J548" s="250"/>
      <c r="K548" s="251"/>
      <c r="L548" s="48">
        <f>L549+L578+L607</f>
        <v>849500000</v>
      </c>
      <c r="M548" s="48">
        <f>M549+M578+M607</f>
        <v>40827000</v>
      </c>
      <c r="N548" s="48">
        <f>N549+N578+N607</f>
        <v>36576500</v>
      </c>
      <c r="O548" s="48">
        <f>O549+O578+O607</f>
        <v>0</v>
      </c>
      <c r="P548" s="48">
        <f>P549+P578+P607</f>
        <v>0</v>
      </c>
      <c r="Q548" s="48">
        <f>SUM(N548:P548)</f>
        <v>36576500</v>
      </c>
      <c r="R548" s="61">
        <f t="shared" si="119"/>
        <v>89.588997477159722</v>
      </c>
      <c r="S548" s="48">
        <f>M548-Q548</f>
        <v>4250500</v>
      </c>
      <c r="T548" s="48">
        <f>T549+T578+T607</f>
        <v>288112900</v>
      </c>
      <c r="U548" s="48">
        <f>T548+M548</f>
        <v>328939900</v>
      </c>
      <c r="V548" s="48">
        <f>T548+S548</f>
        <v>292363400</v>
      </c>
      <c r="W548" s="48">
        <f>W549+W578+W607</f>
        <v>88357850</v>
      </c>
      <c r="X548" s="48">
        <f>X549+X578+X607</f>
        <v>142446100</v>
      </c>
      <c r="Y548" s="48">
        <f>Y549+Y578+Y607</f>
        <v>0</v>
      </c>
      <c r="Z548" s="48"/>
      <c r="AA548" s="48">
        <f>AA549+AA578+AA607</f>
        <v>282490100</v>
      </c>
      <c r="AB548" s="48">
        <f>AB549+AB578+AB607</f>
        <v>849500000</v>
      </c>
      <c r="AC548" s="48">
        <f t="shared" si="117"/>
        <v>0</v>
      </c>
      <c r="AD548" s="48">
        <f>AA548+T548+M548</f>
        <v>611430000</v>
      </c>
      <c r="AE548" s="48">
        <f t="shared" ref="AE548:AK548" si="127">AE549+AE578+AE607</f>
        <v>0</v>
      </c>
      <c r="AF548" s="48">
        <f t="shared" si="127"/>
        <v>0</v>
      </c>
      <c r="AG548" s="48">
        <f t="shared" si="127"/>
        <v>59935000</v>
      </c>
      <c r="AH548" s="48">
        <f t="shared" si="127"/>
        <v>0</v>
      </c>
      <c r="AI548" s="48">
        <f t="shared" si="127"/>
        <v>0</v>
      </c>
      <c r="AJ548" s="48">
        <f t="shared" si="127"/>
        <v>53881000</v>
      </c>
      <c r="AK548" s="48">
        <f t="shared" si="127"/>
        <v>381196450</v>
      </c>
      <c r="AL548" s="48">
        <f>AK548/AB548*100</f>
        <v>44.873037080635669</v>
      </c>
      <c r="AM548" s="48">
        <f>AM549+AM578+AM607</f>
        <v>61085000</v>
      </c>
      <c r="AN548" s="48">
        <f>AN549+AN578+AN607</f>
        <v>42500000</v>
      </c>
      <c r="AO548" s="48">
        <f>AO549+AO578+AO607</f>
        <v>0</v>
      </c>
      <c r="AP548" s="48">
        <f>AP549+AP578+AP607</f>
        <v>178300900</v>
      </c>
      <c r="AQ548" s="48">
        <f>AK548+AM548+AN548+AO548+AP548</f>
        <v>663082350</v>
      </c>
      <c r="AR548" s="48">
        <f>AQ548/AB548*100</f>
        <v>78.055603296056503</v>
      </c>
      <c r="AS548" s="48">
        <f>AB548-AQ548</f>
        <v>186417650</v>
      </c>
      <c r="AT548" s="48">
        <v>120767500</v>
      </c>
      <c r="AU548" s="48">
        <f>AT548+U548</f>
        <v>449707400</v>
      </c>
      <c r="AV548" s="48">
        <f>AK548</f>
        <v>381196450</v>
      </c>
      <c r="AW548" s="61">
        <f>AV548/AU548*100</f>
        <v>84.765438594072506</v>
      </c>
      <c r="AX548" s="48">
        <f>AU548-AV548</f>
        <v>68510950</v>
      </c>
      <c r="AY548" s="48">
        <f>AS548/AB548*100</f>
        <v>21.944396703943497</v>
      </c>
      <c r="AZ548" s="73">
        <f t="shared" ref="AZ548:AZ611" si="128">AQ548-AO548</f>
        <v>663082350</v>
      </c>
    </row>
    <row r="549" spans="1:54" ht="20.100000000000001" customHeight="1">
      <c r="A549" s="62">
        <v>34</v>
      </c>
      <c r="B549" s="63"/>
      <c r="C549" s="242" t="s">
        <v>751</v>
      </c>
      <c r="D549" s="242"/>
      <c r="E549" s="243"/>
      <c r="F549" s="64"/>
      <c r="G549" s="244" t="s">
        <v>34</v>
      </c>
      <c r="H549" s="244"/>
      <c r="I549" s="244"/>
      <c r="J549" s="244"/>
      <c r="K549" s="245"/>
      <c r="L549" s="65">
        <f>SUM(L552:L577)</f>
        <v>307000000</v>
      </c>
      <c r="M549" s="65">
        <f>SUM(M552:M577)</f>
        <v>9097000</v>
      </c>
      <c r="N549" s="65">
        <f>SUM(N552:N577)</f>
        <v>7097000</v>
      </c>
      <c r="O549" s="65">
        <f>SUM(O552:O577)</f>
        <v>0</v>
      </c>
      <c r="P549" s="65">
        <f>SUM(P552:P577)</f>
        <v>0</v>
      </c>
      <c r="Q549" s="65">
        <f>SUM(N549:P549)</f>
        <v>7097000</v>
      </c>
      <c r="R549" s="66">
        <f t="shared" si="119"/>
        <v>78.014730130812353</v>
      </c>
      <c r="S549" s="65">
        <f>M549-Q549</f>
        <v>2000000</v>
      </c>
      <c r="T549" s="65">
        <f>SUM(T552:T577)</f>
        <v>200974900</v>
      </c>
      <c r="U549" s="65">
        <f>T549+M549</f>
        <v>210071900</v>
      </c>
      <c r="V549" s="65">
        <f>T549+S549</f>
        <v>202974900</v>
      </c>
      <c r="W549" s="65">
        <f>SUM(W552:W577)</f>
        <v>36290000</v>
      </c>
      <c r="X549" s="65">
        <f>SUM(X552:X577)</f>
        <v>142446100</v>
      </c>
      <c r="Y549" s="65">
        <f>SUM(Y552:Y577)</f>
        <v>0</v>
      </c>
      <c r="Z549" s="65"/>
      <c r="AA549" s="65">
        <f>SUM(AA552:AA577)</f>
        <v>48903100</v>
      </c>
      <c r="AB549" s="65">
        <f>SUM(AB552:AB577)</f>
        <v>307000000</v>
      </c>
      <c r="AC549" s="65">
        <f t="shared" si="117"/>
        <v>0</v>
      </c>
      <c r="AD549" s="65">
        <f>AA549+T549+M549</f>
        <v>258975000</v>
      </c>
      <c r="AE549" s="65">
        <f t="shared" ref="AE549:AK549" si="129">SUM(AE552:AE577)</f>
        <v>0</v>
      </c>
      <c r="AF549" s="65">
        <f t="shared" si="129"/>
        <v>0</v>
      </c>
      <c r="AG549" s="65">
        <f t="shared" si="129"/>
        <v>0</v>
      </c>
      <c r="AH549" s="65">
        <f t="shared" si="129"/>
        <v>0</v>
      </c>
      <c r="AI549" s="65">
        <f t="shared" si="129"/>
        <v>0</v>
      </c>
      <c r="AJ549" s="65">
        <f t="shared" si="129"/>
        <v>4756000</v>
      </c>
      <c r="AK549" s="65">
        <f t="shared" si="129"/>
        <v>190589100</v>
      </c>
      <c r="AL549" s="65">
        <f>AK549/AB549*100</f>
        <v>62.081140065146577</v>
      </c>
      <c r="AM549" s="65">
        <f>SUM(AM552:AM577)</f>
        <v>0</v>
      </c>
      <c r="AN549" s="65">
        <f>SUM(AN552:AN577)</f>
        <v>0</v>
      </c>
      <c r="AO549" s="65">
        <f>SUM(AO552:AO577)</f>
        <v>0</v>
      </c>
      <c r="AP549" s="42">
        <f>SUM(AP552:AP577)</f>
        <v>68335900</v>
      </c>
      <c r="AQ549" s="65">
        <f>AK549+AM549+AN549+AO549+AP549</f>
        <v>258925000</v>
      </c>
      <c r="AR549" s="65">
        <f>AQ549/AB549*100</f>
        <v>84.340390879478832</v>
      </c>
      <c r="AS549" s="65">
        <f>AB549-AQ549</f>
        <v>48075000</v>
      </c>
      <c r="AT549" s="65">
        <f>SUM(AT552:AT558)</f>
        <v>12366000</v>
      </c>
      <c r="AU549" s="65">
        <f>AT549+U549</f>
        <v>222437900</v>
      </c>
      <c r="AV549" s="65">
        <f>AK549</f>
        <v>190589100</v>
      </c>
      <c r="AW549" s="66">
        <f>AV549/AU549*100</f>
        <v>85.681936396630249</v>
      </c>
      <c r="AX549" s="65">
        <f>AU549-AV549</f>
        <v>31848800</v>
      </c>
      <c r="AY549" s="65">
        <f>AS549/AB549*100</f>
        <v>15.659609120521173</v>
      </c>
      <c r="AZ549" s="67">
        <f t="shared" si="128"/>
        <v>258925000</v>
      </c>
    </row>
    <row r="550" spans="1:54" ht="20.100000000000001" customHeight="1">
      <c r="A550" s="68"/>
      <c r="B550" s="69"/>
      <c r="C550" s="240" t="s">
        <v>752</v>
      </c>
      <c r="D550" s="240"/>
      <c r="E550" s="241"/>
      <c r="F550" s="70"/>
      <c r="G550" s="71"/>
      <c r="H550" s="240" t="s">
        <v>10</v>
      </c>
      <c r="I550" s="240"/>
      <c r="J550" s="240"/>
      <c r="K550" s="241"/>
      <c r="L550" s="49"/>
      <c r="M550" s="49"/>
      <c r="N550" s="49"/>
      <c r="O550" s="49"/>
      <c r="P550" s="49"/>
      <c r="Q550" s="49"/>
      <c r="R550" s="72"/>
      <c r="S550" s="49"/>
      <c r="T550" s="49"/>
      <c r="U550" s="49"/>
      <c r="V550" s="49"/>
      <c r="W550" s="49"/>
      <c r="X550" s="49"/>
      <c r="Y550" s="49"/>
      <c r="Z550" s="49"/>
      <c r="AA550" s="49"/>
      <c r="AB550" s="49"/>
      <c r="AC550" s="49">
        <f t="shared" si="117"/>
        <v>0</v>
      </c>
      <c r="AD550" s="49"/>
      <c r="AE550" s="49"/>
      <c r="AF550" s="49"/>
      <c r="AG550" s="49"/>
      <c r="AH550" s="49"/>
      <c r="AI550" s="49"/>
      <c r="AJ550" s="49"/>
      <c r="AK550" s="49"/>
      <c r="AL550" s="49"/>
      <c r="AM550" s="49"/>
      <c r="AN550" s="49"/>
      <c r="AO550" s="49"/>
      <c r="AP550" s="42"/>
      <c r="AQ550" s="49"/>
      <c r="AR550" s="49"/>
      <c r="AS550" s="49"/>
      <c r="AT550" s="49"/>
      <c r="AU550" s="49"/>
      <c r="AV550" s="49"/>
      <c r="AW550" s="49"/>
      <c r="AX550" s="49"/>
      <c r="AY550" s="49"/>
      <c r="AZ550" s="73">
        <f t="shared" si="128"/>
        <v>0</v>
      </c>
    </row>
    <row r="551" spans="1:54" ht="20.100000000000001" customHeight="1">
      <c r="A551" s="68"/>
      <c r="B551" s="69"/>
      <c r="C551" s="240" t="s">
        <v>753</v>
      </c>
      <c r="D551" s="240"/>
      <c r="E551" s="241"/>
      <c r="F551" s="70"/>
      <c r="G551" s="71"/>
      <c r="H551" s="71"/>
      <c r="I551" s="240" t="s">
        <v>177</v>
      </c>
      <c r="J551" s="240"/>
      <c r="K551" s="241"/>
      <c r="L551" s="49"/>
      <c r="M551" s="49"/>
      <c r="N551" s="49"/>
      <c r="O551" s="49"/>
      <c r="P551" s="49"/>
      <c r="Q551" s="49"/>
      <c r="R551" s="72"/>
      <c r="S551" s="49"/>
      <c r="T551" s="49"/>
      <c r="U551" s="49"/>
      <c r="V551" s="49"/>
      <c r="W551" s="49"/>
      <c r="X551" s="49"/>
      <c r="Y551" s="49"/>
      <c r="Z551" s="49"/>
      <c r="AA551" s="49"/>
      <c r="AB551" s="49"/>
      <c r="AC551" s="49">
        <f t="shared" si="117"/>
        <v>0</v>
      </c>
      <c r="AD551" s="49"/>
      <c r="AE551" s="49"/>
      <c r="AF551" s="49"/>
      <c r="AG551" s="49"/>
      <c r="AH551" s="49"/>
      <c r="AI551" s="49"/>
      <c r="AJ551" s="49"/>
      <c r="AK551" s="49"/>
      <c r="AL551" s="49"/>
      <c r="AM551" s="49"/>
      <c r="AN551" s="49"/>
      <c r="AO551" s="49"/>
      <c r="AP551" s="42"/>
      <c r="AQ551" s="49"/>
      <c r="AR551" s="49"/>
      <c r="AS551" s="49"/>
      <c r="AT551" s="49"/>
      <c r="AU551" s="49"/>
      <c r="AV551" s="49"/>
      <c r="AW551" s="49"/>
      <c r="AX551" s="49"/>
      <c r="AY551" s="49"/>
      <c r="AZ551" s="73">
        <f t="shared" si="128"/>
        <v>0</v>
      </c>
    </row>
    <row r="552" spans="1:54" ht="20.100000000000001" customHeight="1">
      <c r="A552" s="68"/>
      <c r="B552" s="69"/>
      <c r="C552" s="240" t="s">
        <v>754</v>
      </c>
      <c r="D552" s="240"/>
      <c r="E552" s="241"/>
      <c r="F552" s="70"/>
      <c r="G552" s="71"/>
      <c r="H552" s="71"/>
      <c r="I552" s="71"/>
      <c r="J552" s="240" t="s">
        <v>283</v>
      </c>
      <c r="K552" s="241"/>
      <c r="L552" s="49">
        <v>21075000</v>
      </c>
      <c r="M552" s="49">
        <v>0</v>
      </c>
      <c r="N552" s="49"/>
      <c r="O552" s="49"/>
      <c r="P552" s="49"/>
      <c r="Q552" s="49">
        <f>SUM(N552:P552)</f>
        <v>0</v>
      </c>
      <c r="R552" s="72"/>
      <c r="S552" s="49">
        <f>M552-Q552</f>
        <v>0</v>
      </c>
      <c r="T552" s="49">
        <v>7025000</v>
      </c>
      <c r="U552" s="49">
        <f>T552+M552</f>
        <v>7025000</v>
      </c>
      <c r="V552" s="49">
        <f>T552+S552</f>
        <v>7025000</v>
      </c>
      <c r="W552" s="49">
        <v>6000000</v>
      </c>
      <c r="X552" s="49"/>
      <c r="Y552" s="49"/>
      <c r="Z552" s="49"/>
      <c r="AA552" s="49">
        <v>7025000</v>
      </c>
      <c r="AB552" s="49">
        <v>21075000</v>
      </c>
      <c r="AC552" s="49">
        <f t="shared" si="117"/>
        <v>0</v>
      </c>
      <c r="AD552" s="49">
        <f>AA552+T552+M552</f>
        <v>14050000</v>
      </c>
      <c r="AE552" s="49"/>
      <c r="AF552" s="49"/>
      <c r="AG552" s="49">
        <v>0</v>
      </c>
      <c r="AH552" s="49"/>
      <c r="AI552" s="49">
        <v>0</v>
      </c>
      <c r="AJ552" s="49">
        <v>0</v>
      </c>
      <c r="AK552" s="49">
        <f>Z552+Y552+X552+W552+N552+AG552+AE552+AJ552+AI552+AH552</f>
        <v>6000000</v>
      </c>
      <c r="AL552" s="49">
        <f>AK552/AD552*100</f>
        <v>42.704626334519574</v>
      </c>
      <c r="AM552" s="49"/>
      <c r="AN552" s="49"/>
      <c r="AO552" s="49"/>
      <c r="AP552" s="42">
        <v>12000000</v>
      </c>
      <c r="AQ552" s="49">
        <f>AK552+AM552+AN552+AO552+AP552</f>
        <v>18000000</v>
      </c>
      <c r="AR552" s="49">
        <f>AQ552/AB552*100</f>
        <v>85.409252669039148</v>
      </c>
      <c r="AS552" s="49">
        <f t="shared" si="125"/>
        <v>3075000</v>
      </c>
      <c r="AT552" s="49">
        <v>3091500</v>
      </c>
      <c r="AU552" s="49">
        <f>AT552+U552</f>
        <v>10116500</v>
      </c>
      <c r="AV552" s="49">
        <f>AK552</f>
        <v>6000000</v>
      </c>
      <c r="AW552" s="72">
        <f>AV552/AU552*100</f>
        <v>59.309049572480596</v>
      </c>
      <c r="AX552" s="49">
        <f>AU552-AV552</f>
        <v>4116500</v>
      </c>
      <c r="AY552" s="49">
        <f t="shared" si="126"/>
        <v>14.590747330960854</v>
      </c>
      <c r="AZ552" s="73">
        <f t="shared" si="128"/>
        <v>18000000</v>
      </c>
      <c r="BA552" s="29">
        <f>AS552</f>
        <v>3075000</v>
      </c>
    </row>
    <row r="553" spans="1:54" ht="20.100000000000001" customHeight="1">
      <c r="A553" s="68"/>
      <c r="B553" s="69"/>
      <c r="C553" s="240" t="s">
        <v>755</v>
      </c>
      <c r="D553" s="240"/>
      <c r="E553" s="241"/>
      <c r="F553" s="70"/>
      <c r="G553" s="71"/>
      <c r="H553" s="71"/>
      <c r="I553" s="71"/>
      <c r="J553" s="240" t="s">
        <v>384</v>
      </c>
      <c r="K553" s="241"/>
      <c r="L553" s="49">
        <v>2450000</v>
      </c>
      <c r="M553" s="49">
        <v>0</v>
      </c>
      <c r="N553" s="49"/>
      <c r="O553" s="49"/>
      <c r="P553" s="49"/>
      <c r="Q553" s="49">
        <f>SUM(N553:P553)</f>
        <v>0</v>
      </c>
      <c r="R553" s="72"/>
      <c r="S553" s="49">
        <f>M553-Q553</f>
        <v>0</v>
      </c>
      <c r="T553" s="49">
        <v>2450000</v>
      </c>
      <c r="U553" s="49">
        <f>T553+M553</f>
        <v>2450000</v>
      </c>
      <c r="V553" s="49">
        <f>T553+S553</f>
        <v>2450000</v>
      </c>
      <c r="W553" s="49">
        <v>1240000</v>
      </c>
      <c r="X553" s="49"/>
      <c r="Y553" s="49"/>
      <c r="Z553" s="49"/>
      <c r="AA553" s="49">
        <v>0</v>
      </c>
      <c r="AB553" s="49">
        <v>2450000</v>
      </c>
      <c r="AC553" s="49">
        <f t="shared" si="117"/>
        <v>0</v>
      </c>
      <c r="AD553" s="49">
        <f>AA553+T553+M553</f>
        <v>2450000</v>
      </c>
      <c r="AE553" s="49"/>
      <c r="AF553" s="49"/>
      <c r="AG553" s="49">
        <v>0</v>
      </c>
      <c r="AH553" s="49"/>
      <c r="AI553" s="49">
        <v>0</v>
      </c>
      <c r="AJ553" s="49">
        <v>0</v>
      </c>
      <c r="AK553" s="49">
        <f>Z553+Y553+X553+W553+N553+AG553+AE553+AJ553+AI553+AH553</f>
        <v>1240000</v>
      </c>
      <c r="AL553" s="49">
        <f>AK553/AD553*100</f>
        <v>50.612244897959179</v>
      </c>
      <c r="AM553" s="49"/>
      <c r="AN553" s="49"/>
      <c r="AO553" s="49"/>
      <c r="AP553" s="42">
        <v>1210000</v>
      </c>
      <c r="AQ553" s="49">
        <f>AK553+AM553+AN553+AO553+AP553</f>
        <v>2450000</v>
      </c>
      <c r="AR553" s="49">
        <f>AQ553/AB553*100</f>
        <v>100</v>
      </c>
      <c r="AS553" s="49">
        <f t="shared" si="125"/>
        <v>0</v>
      </c>
      <c r="AT553" s="49">
        <v>3091500</v>
      </c>
      <c r="AU553" s="49">
        <f>AT553+U553</f>
        <v>5541500</v>
      </c>
      <c r="AV553" s="49">
        <f>AK553</f>
        <v>1240000</v>
      </c>
      <c r="AW553" s="72">
        <f>AV553/AU553*100</f>
        <v>22.376612830461067</v>
      </c>
      <c r="AX553" s="49">
        <f>AU553-AV553</f>
        <v>4301500</v>
      </c>
      <c r="AY553" s="49">
        <f t="shared" si="126"/>
        <v>0</v>
      </c>
      <c r="AZ553" s="73">
        <f t="shared" si="128"/>
        <v>2450000</v>
      </c>
    </row>
    <row r="554" spans="1:54" ht="20.100000000000001" customHeight="1">
      <c r="A554" s="68"/>
      <c r="B554" s="69"/>
      <c r="C554" s="240" t="s">
        <v>756</v>
      </c>
      <c r="D554" s="240"/>
      <c r="E554" s="241"/>
      <c r="F554" s="70"/>
      <c r="G554" s="71"/>
      <c r="H554" s="240" t="s">
        <v>143</v>
      </c>
      <c r="I554" s="240"/>
      <c r="J554" s="240"/>
      <c r="K554" s="241"/>
      <c r="L554" s="49"/>
      <c r="M554" s="49"/>
      <c r="N554" s="49"/>
      <c r="O554" s="49"/>
      <c r="P554" s="49"/>
      <c r="Q554" s="49"/>
      <c r="R554" s="72"/>
      <c r="S554" s="49"/>
      <c r="T554" s="49"/>
      <c r="U554" s="49"/>
      <c r="V554" s="49"/>
      <c r="W554" s="49"/>
      <c r="X554" s="49"/>
      <c r="Y554" s="49"/>
      <c r="Z554" s="49"/>
      <c r="AA554" s="49"/>
      <c r="AB554" s="49"/>
      <c r="AC554" s="49">
        <f t="shared" si="117"/>
        <v>0</v>
      </c>
      <c r="AD554" s="49"/>
      <c r="AE554" s="49"/>
      <c r="AF554" s="49"/>
      <c r="AG554" s="49"/>
      <c r="AH554" s="49"/>
      <c r="AI554" s="49"/>
      <c r="AJ554" s="49"/>
      <c r="AK554" s="49"/>
      <c r="AL554" s="49"/>
      <c r="AM554" s="49"/>
      <c r="AN554" s="49"/>
      <c r="AO554" s="49"/>
      <c r="AP554" s="42"/>
      <c r="AQ554" s="49"/>
      <c r="AR554" s="49"/>
      <c r="AS554" s="49"/>
      <c r="AT554" s="49"/>
      <c r="AU554" s="49"/>
      <c r="AV554" s="49"/>
      <c r="AW554" s="49"/>
      <c r="AX554" s="49"/>
      <c r="AY554" s="49"/>
      <c r="AZ554" s="73">
        <f t="shared" si="128"/>
        <v>0</v>
      </c>
    </row>
    <row r="555" spans="1:54" ht="20.100000000000001" customHeight="1">
      <c r="A555" s="68"/>
      <c r="B555" s="69"/>
      <c r="C555" s="240" t="s">
        <v>757</v>
      </c>
      <c r="D555" s="240"/>
      <c r="E555" s="241"/>
      <c r="F555" s="70"/>
      <c r="G555" s="71"/>
      <c r="H555" s="71"/>
      <c r="I555" s="240" t="s">
        <v>145</v>
      </c>
      <c r="J555" s="240"/>
      <c r="K555" s="241"/>
      <c r="L555" s="49"/>
      <c r="M555" s="49"/>
      <c r="N555" s="49"/>
      <c r="O555" s="49"/>
      <c r="P555" s="49"/>
      <c r="Q555" s="49"/>
      <c r="R555" s="72"/>
      <c r="S555" s="49"/>
      <c r="T555" s="49">
        <v>0</v>
      </c>
      <c r="U555" s="49">
        <f>T555+M555</f>
        <v>0</v>
      </c>
      <c r="V555" s="49">
        <f>T555+S555</f>
        <v>0</v>
      </c>
      <c r="W555" s="49"/>
      <c r="X555" s="49"/>
      <c r="Y555" s="49"/>
      <c r="Z555" s="49"/>
      <c r="AA555" s="49">
        <v>0</v>
      </c>
      <c r="AB555" s="49"/>
      <c r="AC555" s="49">
        <f t="shared" si="117"/>
        <v>0</v>
      </c>
      <c r="AD555" s="49"/>
      <c r="AE555" s="49"/>
      <c r="AF555" s="49"/>
      <c r="AG555" s="49"/>
      <c r="AH555" s="49"/>
      <c r="AI555" s="49"/>
      <c r="AJ555" s="49"/>
      <c r="AK555" s="49"/>
      <c r="AL555" s="49"/>
      <c r="AM555" s="49"/>
      <c r="AN555" s="49"/>
      <c r="AO555" s="49"/>
      <c r="AP555" s="42"/>
      <c r="AQ555" s="49"/>
      <c r="AR555" s="49"/>
      <c r="AS555" s="49"/>
      <c r="AT555" s="49"/>
      <c r="AU555" s="49"/>
      <c r="AV555" s="49"/>
      <c r="AW555" s="49"/>
      <c r="AX555" s="49"/>
      <c r="AY555" s="49"/>
      <c r="AZ555" s="73">
        <f t="shared" si="128"/>
        <v>0</v>
      </c>
    </row>
    <row r="556" spans="1:54" ht="20.100000000000001" customHeight="1">
      <c r="A556" s="68"/>
      <c r="B556" s="69"/>
      <c r="C556" s="240" t="s">
        <v>758</v>
      </c>
      <c r="D556" s="240"/>
      <c r="E556" s="241"/>
      <c r="F556" s="70"/>
      <c r="G556" s="71"/>
      <c r="H556" s="71"/>
      <c r="I556" s="71"/>
      <c r="J556" s="240" t="s">
        <v>147</v>
      </c>
      <c r="K556" s="241"/>
      <c r="L556" s="49">
        <v>6572000</v>
      </c>
      <c r="M556" s="49">
        <v>6572000</v>
      </c>
      <c r="N556" s="49">
        <v>6572000</v>
      </c>
      <c r="O556" s="49"/>
      <c r="P556" s="49"/>
      <c r="Q556" s="49">
        <f>SUM(N556:P556)</f>
        <v>6572000</v>
      </c>
      <c r="R556" s="72">
        <f>Q556/M556*100</f>
        <v>100</v>
      </c>
      <c r="S556" s="49">
        <f>M556-Q556</f>
        <v>0</v>
      </c>
      <c r="T556" s="49">
        <v>0</v>
      </c>
      <c r="U556" s="49">
        <f>T556+M556</f>
        <v>6572000</v>
      </c>
      <c r="V556" s="49">
        <f>T556+S556</f>
        <v>0</v>
      </c>
      <c r="W556" s="49"/>
      <c r="X556" s="49"/>
      <c r="Y556" s="49"/>
      <c r="Z556" s="49"/>
      <c r="AA556" s="49">
        <v>0</v>
      </c>
      <c r="AB556" s="49">
        <v>6572000</v>
      </c>
      <c r="AC556" s="49">
        <f t="shared" si="117"/>
        <v>0</v>
      </c>
      <c r="AD556" s="49">
        <f>AA556+T556+M556</f>
        <v>6572000</v>
      </c>
      <c r="AE556" s="49"/>
      <c r="AF556" s="49"/>
      <c r="AG556" s="49"/>
      <c r="AH556" s="49"/>
      <c r="AI556" s="49"/>
      <c r="AJ556" s="49"/>
      <c r="AK556" s="49">
        <f>Z556+Y556+X556+W556+N556+AG556+AE556+AJ556+AI556+AH556</f>
        <v>6572000</v>
      </c>
      <c r="AL556" s="49">
        <f>AK556/AD556*100</f>
        <v>100</v>
      </c>
      <c r="AM556" s="49"/>
      <c r="AN556" s="49"/>
      <c r="AO556" s="49"/>
      <c r="AP556" s="42"/>
      <c r="AQ556" s="49">
        <f>AK556+AM556+AN556+AO556+AP556</f>
        <v>6572000</v>
      </c>
      <c r="AR556" s="49">
        <f>AQ556/AB556*100</f>
        <v>100</v>
      </c>
      <c r="AS556" s="49">
        <f t="shared" si="125"/>
        <v>0</v>
      </c>
      <c r="AT556" s="49">
        <v>3091500</v>
      </c>
      <c r="AU556" s="49">
        <f>AT556+U556</f>
        <v>9663500</v>
      </c>
      <c r="AV556" s="49">
        <f>AK556</f>
        <v>6572000</v>
      </c>
      <c r="AW556" s="72">
        <f>AV556/AU556*100</f>
        <v>68.008485538366017</v>
      </c>
      <c r="AX556" s="49">
        <f>AU556-AV556</f>
        <v>3091500</v>
      </c>
      <c r="AY556" s="49">
        <f t="shared" si="126"/>
        <v>0</v>
      </c>
      <c r="AZ556" s="73">
        <f t="shared" si="128"/>
        <v>6572000</v>
      </c>
    </row>
    <row r="557" spans="1:54" ht="20.100000000000001" customHeight="1">
      <c r="A557" s="68"/>
      <c r="B557" s="69"/>
      <c r="C557" s="240" t="s">
        <v>759</v>
      </c>
      <c r="D557" s="240"/>
      <c r="E557" s="241"/>
      <c r="F557" s="70"/>
      <c r="G557" s="71"/>
      <c r="H557" s="71"/>
      <c r="I557" s="240" t="s">
        <v>163</v>
      </c>
      <c r="J557" s="240"/>
      <c r="K557" s="241"/>
      <c r="L557" s="49"/>
      <c r="M557" s="49"/>
      <c r="N557" s="49"/>
      <c r="O557" s="49"/>
      <c r="P557" s="49"/>
      <c r="Q557" s="49"/>
      <c r="R557" s="72"/>
      <c r="S557" s="49"/>
      <c r="T557" s="49"/>
      <c r="U557" s="49"/>
      <c r="V557" s="49"/>
      <c r="W557" s="49"/>
      <c r="X557" s="49"/>
      <c r="Y557" s="49"/>
      <c r="Z557" s="49"/>
      <c r="AA557" s="49"/>
      <c r="AB557" s="49"/>
      <c r="AC557" s="49">
        <f t="shared" si="117"/>
        <v>0</v>
      </c>
      <c r="AD557" s="49"/>
      <c r="AE557" s="49"/>
      <c r="AF557" s="49"/>
      <c r="AG557" s="49"/>
      <c r="AH557" s="49"/>
      <c r="AI557" s="49"/>
      <c r="AJ557" s="49"/>
      <c r="AK557" s="49"/>
      <c r="AL557" s="49"/>
      <c r="AM557" s="49"/>
      <c r="AN557" s="49"/>
      <c r="AO557" s="49"/>
      <c r="AP557" s="42"/>
      <c r="AQ557" s="49"/>
      <c r="AR557" s="49"/>
      <c r="AS557" s="49"/>
      <c r="AT557" s="49"/>
      <c r="AU557" s="49"/>
      <c r="AV557" s="49"/>
      <c r="AW557" s="49"/>
      <c r="AX557" s="49"/>
      <c r="AY557" s="49"/>
      <c r="AZ557" s="73">
        <f t="shared" si="128"/>
        <v>0</v>
      </c>
    </row>
    <row r="558" spans="1:54" ht="20.100000000000001" customHeight="1">
      <c r="A558" s="68"/>
      <c r="B558" s="69"/>
      <c r="C558" s="240" t="s">
        <v>760</v>
      </c>
      <c r="D558" s="240"/>
      <c r="E558" s="241"/>
      <c r="F558" s="70"/>
      <c r="G558" s="71"/>
      <c r="H558" s="71"/>
      <c r="I558" s="71"/>
      <c r="J558" s="240" t="s">
        <v>349</v>
      </c>
      <c r="K558" s="241"/>
      <c r="L558" s="49">
        <v>7375000</v>
      </c>
      <c r="M558" s="49">
        <v>0</v>
      </c>
      <c r="N558" s="49"/>
      <c r="O558" s="49"/>
      <c r="P558" s="49"/>
      <c r="Q558" s="49">
        <f>SUM(N558:P558)</f>
        <v>0</v>
      </c>
      <c r="R558" s="72"/>
      <c r="S558" s="49">
        <f>M558-Q558</f>
        <v>0</v>
      </c>
      <c r="T558" s="49">
        <v>5500000</v>
      </c>
      <c r="U558" s="49">
        <f>T558+M558</f>
        <v>5500000</v>
      </c>
      <c r="V558" s="49">
        <f>T558+S558</f>
        <v>5500000</v>
      </c>
      <c r="W558" s="49">
        <v>5500000</v>
      </c>
      <c r="X558" s="49"/>
      <c r="Y558" s="49"/>
      <c r="Z558" s="49"/>
      <c r="AA558" s="49">
        <v>1875000</v>
      </c>
      <c r="AB558" s="49">
        <v>7375000</v>
      </c>
      <c r="AC558" s="49">
        <f t="shared" si="117"/>
        <v>0</v>
      </c>
      <c r="AD558" s="49">
        <f>AA558+T558+M558</f>
        <v>7375000</v>
      </c>
      <c r="AE558" s="49"/>
      <c r="AF558" s="49"/>
      <c r="AG558" s="49">
        <v>0</v>
      </c>
      <c r="AH558" s="49"/>
      <c r="AI558" s="49">
        <v>0</v>
      </c>
      <c r="AJ558" s="49">
        <v>0</v>
      </c>
      <c r="AK558" s="49">
        <f>Z558+Y558+X558+W558+N558+AG558+AE558+AJ558+AI558+AH558</f>
        <v>5500000</v>
      </c>
      <c r="AL558" s="49">
        <f>AK558/AD558*100</f>
        <v>74.576271186440678</v>
      </c>
      <c r="AM558" s="49"/>
      <c r="AN558" s="49"/>
      <c r="AO558" s="49"/>
      <c r="AP558" s="42">
        <v>1875000</v>
      </c>
      <c r="AQ558" s="49">
        <f>AK558+AM558+AN558+AO558+AP558</f>
        <v>7375000</v>
      </c>
      <c r="AR558" s="49">
        <f>AQ558/AB558*100</f>
        <v>100</v>
      </c>
      <c r="AS558" s="49">
        <f t="shared" si="125"/>
        <v>0</v>
      </c>
      <c r="AT558" s="49">
        <v>3091500</v>
      </c>
      <c r="AU558" s="49">
        <f>AT558+U558</f>
        <v>8591500</v>
      </c>
      <c r="AV558" s="49">
        <f>AK558</f>
        <v>5500000</v>
      </c>
      <c r="AW558" s="72">
        <f>AV558/AU558*100</f>
        <v>64.016760751905949</v>
      </c>
      <c r="AX558" s="49">
        <f>AU558-AV558</f>
        <v>3091500</v>
      </c>
      <c r="AY558" s="49">
        <f t="shared" si="126"/>
        <v>0</v>
      </c>
      <c r="AZ558" s="73">
        <f t="shared" si="128"/>
        <v>7375000</v>
      </c>
    </row>
    <row r="559" spans="1:54" ht="20.100000000000001" customHeight="1">
      <c r="A559" s="68"/>
      <c r="B559" s="69"/>
      <c r="C559" s="240" t="s">
        <v>761</v>
      </c>
      <c r="D559" s="240"/>
      <c r="E559" s="241"/>
      <c r="F559" s="70"/>
      <c r="G559" s="71"/>
      <c r="H559" s="71"/>
      <c r="I559" s="71"/>
      <c r="J559" s="240" t="s">
        <v>352</v>
      </c>
      <c r="K559" s="241"/>
      <c r="L559" s="49">
        <v>2520000</v>
      </c>
      <c r="M559" s="49">
        <v>0</v>
      </c>
      <c r="N559" s="49"/>
      <c r="O559" s="49"/>
      <c r="P559" s="49"/>
      <c r="Q559" s="49">
        <f>SUM(N559:P559)</f>
        <v>0</v>
      </c>
      <c r="R559" s="72"/>
      <c r="S559" s="49">
        <f>M559-Q559</f>
        <v>0</v>
      </c>
      <c r="T559" s="49">
        <v>0</v>
      </c>
      <c r="U559" s="49">
        <f>T559+M559</f>
        <v>0</v>
      </c>
      <c r="V559" s="49">
        <f>T559+S559</f>
        <v>0</v>
      </c>
      <c r="W559" s="49"/>
      <c r="X559" s="49"/>
      <c r="Y559" s="49"/>
      <c r="Z559" s="49"/>
      <c r="AA559" s="49">
        <v>2520000</v>
      </c>
      <c r="AB559" s="49">
        <v>2520000</v>
      </c>
      <c r="AC559" s="49">
        <f t="shared" si="117"/>
        <v>0</v>
      </c>
      <c r="AD559" s="49">
        <f>AA559+T559+M559</f>
        <v>2520000</v>
      </c>
      <c r="AE559" s="49"/>
      <c r="AF559" s="49"/>
      <c r="AG559" s="49"/>
      <c r="AH559" s="49"/>
      <c r="AI559" s="49"/>
      <c r="AJ559" s="49"/>
      <c r="AK559" s="49">
        <f>Z559+Y559+X559+W559+N559+AG559+AE559+AJ559+AI559+AH559</f>
        <v>0</v>
      </c>
      <c r="AL559" s="49">
        <f>AK559/AD559*100</f>
        <v>0</v>
      </c>
      <c r="AM559" s="49"/>
      <c r="AN559" s="49"/>
      <c r="AO559" s="49"/>
      <c r="AP559" s="42">
        <v>2520000</v>
      </c>
      <c r="AQ559" s="49">
        <f>AK559+AM559+AN559+AO559+AP559</f>
        <v>2520000</v>
      </c>
      <c r="AR559" s="49">
        <f>AQ559/AB559*100</f>
        <v>100</v>
      </c>
      <c r="AS559" s="49">
        <f t="shared" si="125"/>
        <v>0</v>
      </c>
      <c r="AT559" s="49">
        <v>3091500</v>
      </c>
      <c r="AU559" s="49">
        <f>AT559+U559</f>
        <v>3091500</v>
      </c>
      <c r="AV559" s="49">
        <f>AK559</f>
        <v>0</v>
      </c>
      <c r="AW559" s="72">
        <f>AV559/AU559*100</f>
        <v>0</v>
      </c>
      <c r="AX559" s="49">
        <f>AU559-AV559</f>
        <v>3091500</v>
      </c>
      <c r="AY559" s="49">
        <f t="shared" si="126"/>
        <v>0</v>
      </c>
      <c r="AZ559" s="73">
        <f t="shared" si="128"/>
        <v>2520000</v>
      </c>
      <c r="BB559" s="29">
        <f>AS560</f>
        <v>41000000</v>
      </c>
    </row>
    <row r="560" spans="1:54" ht="20.100000000000001" customHeight="1">
      <c r="A560" s="68"/>
      <c r="B560" s="69"/>
      <c r="C560" s="240" t="s">
        <v>762</v>
      </c>
      <c r="D560" s="240"/>
      <c r="E560" s="241"/>
      <c r="F560" s="70"/>
      <c r="G560" s="71"/>
      <c r="H560" s="71"/>
      <c r="I560" s="71"/>
      <c r="J560" s="240" t="s">
        <v>763</v>
      </c>
      <c r="K560" s="241"/>
      <c r="L560" s="49">
        <v>41000000</v>
      </c>
      <c r="M560" s="49">
        <v>0</v>
      </c>
      <c r="N560" s="49"/>
      <c r="O560" s="49"/>
      <c r="P560" s="49"/>
      <c r="Q560" s="49">
        <f>SUM(N560:P560)</f>
        <v>0</v>
      </c>
      <c r="R560" s="72"/>
      <c r="S560" s="49">
        <f>M560-Q560</f>
        <v>0</v>
      </c>
      <c r="T560" s="49">
        <v>0</v>
      </c>
      <c r="U560" s="49">
        <f>T560+M560</f>
        <v>0</v>
      </c>
      <c r="V560" s="49">
        <f>T560+S560</f>
        <v>0</v>
      </c>
      <c r="W560" s="49"/>
      <c r="X560" s="49"/>
      <c r="Y560" s="49"/>
      <c r="Z560" s="49"/>
      <c r="AA560" s="49">
        <v>0</v>
      </c>
      <c r="AB560" s="49">
        <v>41000000</v>
      </c>
      <c r="AC560" s="49">
        <f t="shared" si="117"/>
        <v>0</v>
      </c>
      <c r="AD560" s="49">
        <f>AA560+T560+M560</f>
        <v>0</v>
      </c>
      <c r="AE560" s="49"/>
      <c r="AF560" s="49"/>
      <c r="AG560" s="49"/>
      <c r="AH560" s="49"/>
      <c r="AI560" s="49"/>
      <c r="AJ560" s="49"/>
      <c r="AK560" s="49">
        <f>Z560+Y560+X560+W560+N560+AG560+AE560+AJ560+AI560+AH560</f>
        <v>0</v>
      </c>
      <c r="AL560" s="49" t="e">
        <f>AK560/AD560*100</f>
        <v>#DIV/0!</v>
      </c>
      <c r="AM560" s="49"/>
      <c r="AN560" s="49"/>
      <c r="AO560" s="49"/>
      <c r="AP560" s="42"/>
      <c r="AQ560" s="49">
        <f>AK560+AM560+AN560+AO560+AP560</f>
        <v>0</v>
      </c>
      <c r="AR560" s="49">
        <f>AQ560/AB560*100</f>
        <v>0</v>
      </c>
      <c r="AS560" s="49">
        <f t="shared" si="125"/>
        <v>41000000</v>
      </c>
      <c r="AT560" s="49">
        <v>3091500</v>
      </c>
      <c r="AU560" s="49">
        <f>AT560+U560</f>
        <v>3091500</v>
      </c>
      <c r="AV560" s="49">
        <f>AK560</f>
        <v>0</v>
      </c>
      <c r="AW560" s="72">
        <f>AV560/AU560*100</f>
        <v>0</v>
      </c>
      <c r="AX560" s="49">
        <f>AU560-AV560</f>
        <v>3091500</v>
      </c>
      <c r="AY560" s="49">
        <f t="shared" si="126"/>
        <v>100</v>
      </c>
      <c r="AZ560" s="73">
        <f t="shared" si="128"/>
        <v>0</v>
      </c>
    </row>
    <row r="561" spans="1:53" ht="20.100000000000001" customHeight="1">
      <c r="A561" s="68"/>
      <c r="B561" s="69"/>
      <c r="C561" s="240" t="s">
        <v>764</v>
      </c>
      <c r="D561" s="240"/>
      <c r="E561" s="241"/>
      <c r="F561" s="70"/>
      <c r="G561" s="71"/>
      <c r="H561" s="71"/>
      <c r="I561" s="71"/>
      <c r="J561" s="240" t="s">
        <v>765</v>
      </c>
      <c r="K561" s="241"/>
      <c r="L561" s="49">
        <v>350000</v>
      </c>
      <c r="M561" s="49">
        <v>0</v>
      </c>
      <c r="N561" s="49"/>
      <c r="O561" s="49"/>
      <c r="P561" s="49"/>
      <c r="Q561" s="49">
        <f>SUM(N561:P561)</f>
        <v>0</v>
      </c>
      <c r="R561" s="72"/>
      <c r="S561" s="49">
        <f>M561-Q561</f>
        <v>0</v>
      </c>
      <c r="T561" s="49">
        <v>350000</v>
      </c>
      <c r="U561" s="49">
        <f>T561+M561</f>
        <v>350000</v>
      </c>
      <c r="V561" s="49">
        <f>T561+S561</f>
        <v>350000</v>
      </c>
      <c r="W561" s="49">
        <v>350000</v>
      </c>
      <c r="X561" s="49"/>
      <c r="Y561" s="49"/>
      <c r="Z561" s="49"/>
      <c r="AA561" s="49">
        <v>0</v>
      </c>
      <c r="AB561" s="49">
        <v>350000</v>
      </c>
      <c r="AC561" s="49">
        <f t="shared" si="117"/>
        <v>0</v>
      </c>
      <c r="AD561" s="49">
        <f>AA561+T561+M561</f>
        <v>350000</v>
      </c>
      <c r="AE561" s="49"/>
      <c r="AF561" s="49"/>
      <c r="AG561" s="49">
        <v>0</v>
      </c>
      <c r="AH561" s="49"/>
      <c r="AI561" s="49">
        <v>0</v>
      </c>
      <c r="AJ561" s="49">
        <v>0</v>
      </c>
      <c r="AK561" s="49">
        <f>Z561+Y561+X561+W561+N561+AG561+AE561+AJ561+AI561+AH561</f>
        <v>350000</v>
      </c>
      <c r="AL561" s="49">
        <f>AK561/AD561*100</f>
        <v>100</v>
      </c>
      <c r="AM561" s="49"/>
      <c r="AN561" s="49"/>
      <c r="AO561" s="49"/>
      <c r="AP561" s="42"/>
      <c r="AQ561" s="49">
        <f>AK561+AM561+AN561+AO561+AP561</f>
        <v>350000</v>
      </c>
      <c r="AR561" s="49">
        <f>AQ561/AB561*100</f>
        <v>100</v>
      </c>
      <c r="AS561" s="49">
        <f t="shared" si="125"/>
        <v>0</v>
      </c>
      <c r="AT561" s="49">
        <v>3091500</v>
      </c>
      <c r="AU561" s="49">
        <f>AT561+U561</f>
        <v>3441500</v>
      </c>
      <c r="AV561" s="49">
        <f>AK561</f>
        <v>350000</v>
      </c>
      <c r="AW561" s="72">
        <f>AV561/AU561*100</f>
        <v>10.169984018596542</v>
      </c>
      <c r="AX561" s="49">
        <f>AU561-AV561</f>
        <v>3091500</v>
      </c>
      <c r="AY561" s="49">
        <f t="shared" si="126"/>
        <v>0</v>
      </c>
      <c r="AZ561" s="73">
        <f t="shared" si="128"/>
        <v>350000</v>
      </c>
    </row>
    <row r="562" spans="1:53" ht="20.100000000000001" customHeight="1">
      <c r="A562" s="68"/>
      <c r="B562" s="69"/>
      <c r="C562" s="240" t="s">
        <v>766</v>
      </c>
      <c r="D562" s="240"/>
      <c r="E562" s="241"/>
      <c r="F562" s="70"/>
      <c r="G562" s="71"/>
      <c r="H562" s="71"/>
      <c r="I562" s="240" t="s">
        <v>151</v>
      </c>
      <c r="J562" s="240"/>
      <c r="K562" s="241"/>
      <c r="L562" s="49"/>
      <c r="M562" s="49"/>
      <c r="N562" s="49"/>
      <c r="O562" s="49"/>
      <c r="P562" s="49"/>
      <c r="Q562" s="49"/>
      <c r="R562" s="72"/>
      <c r="S562" s="49"/>
      <c r="T562" s="49"/>
      <c r="U562" s="49"/>
      <c r="V562" s="49"/>
      <c r="W562" s="49"/>
      <c r="X562" s="49"/>
      <c r="Y562" s="49"/>
      <c r="Z562" s="49"/>
      <c r="AA562" s="49"/>
      <c r="AB562" s="49"/>
      <c r="AC562" s="49">
        <f t="shared" si="117"/>
        <v>0</v>
      </c>
      <c r="AD562" s="49"/>
      <c r="AE562" s="49"/>
      <c r="AF562" s="49"/>
      <c r="AG562" s="49"/>
      <c r="AH562" s="49"/>
      <c r="AI562" s="49"/>
      <c r="AJ562" s="49"/>
      <c r="AK562" s="49"/>
      <c r="AL562" s="49"/>
      <c r="AM562" s="49"/>
      <c r="AN562" s="49"/>
      <c r="AO562" s="49"/>
      <c r="AP562" s="42"/>
      <c r="AQ562" s="49"/>
      <c r="AR562" s="49"/>
      <c r="AS562" s="49"/>
      <c r="AT562" s="49"/>
      <c r="AU562" s="49"/>
      <c r="AV562" s="49"/>
      <c r="AW562" s="49"/>
      <c r="AX562" s="49"/>
      <c r="AY562" s="49"/>
      <c r="AZ562" s="73">
        <f t="shared" si="128"/>
        <v>0</v>
      </c>
    </row>
    <row r="563" spans="1:53" ht="20.100000000000001" customHeight="1">
      <c r="A563" s="68"/>
      <c r="B563" s="69"/>
      <c r="C563" s="240" t="s">
        <v>767</v>
      </c>
      <c r="D563" s="240"/>
      <c r="E563" s="241"/>
      <c r="F563" s="70"/>
      <c r="G563" s="71"/>
      <c r="H563" s="71"/>
      <c r="I563" s="71"/>
      <c r="J563" s="240" t="s">
        <v>153</v>
      </c>
      <c r="K563" s="241"/>
      <c r="L563" s="49">
        <v>1500000</v>
      </c>
      <c r="M563" s="49">
        <v>0</v>
      </c>
      <c r="N563" s="49"/>
      <c r="O563" s="49"/>
      <c r="P563" s="49"/>
      <c r="Q563" s="49">
        <f>SUM(N563:P563)</f>
        <v>0</v>
      </c>
      <c r="R563" s="72"/>
      <c r="S563" s="49">
        <f>M563-Q563</f>
        <v>0</v>
      </c>
      <c r="T563" s="49">
        <v>1500000</v>
      </c>
      <c r="U563" s="49">
        <f>T563+M563</f>
        <v>1500000</v>
      </c>
      <c r="V563" s="49">
        <f>T563+S563</f>
        <v>1500000</v>
      </c>
      <c r="W563" s="49">
        <v>1500000</v>
      </c>
      <c r="X563" s="49"/>
      <c r="Y563" s="49"/>
      <c r="Z563" s="49"/>
      <c r="AA563" s="49">
        <v>0</v>
      </c>
      <c r="AB563" s="49">
        <v>1500000</v>
      </c>
      <c r="AC563" s="49">
        <f t="shared" si="117"/>
        <v>0</v>
      </c>
      <c r="AD563" s="49">
        <f>AA563+T563+M563</f>
        <v>1500000</v>
      </c>
      <c r="AE563" s="49"/>
      <c r="AF563" s="49"/>
      <c r="AG563" s="49">
        <v>0</v>
      </c>
      <c r="AH563" s="49"/>
      <c r="AI563" s="49">
        <v>0</v>
      </c>
      <c r="AJ563" s="49">
        <v>0</v>
      </c>
      <c r="AK563" s="49">
        <f>Z563+Y563+X563+W563+N563+AG563+AE563+AJ563+AI563+AH563</f>
        <v>1500000</v>
      </c>
      <c r="AL563" s="49">
        <f>AK563/AD563*100</f>
        <v>100</v>
      </c>
      <c r="AM563" s="49"/>
      <c r="AN563" s="49"/>
      <c r="AO563" s="49"/>
      <c r="AP563" s="42"/>
      <c r="AQ563" s="49">
        <f>AK563+AM563+AN563+AO563+AP563</f>
        <v>1500000</v>
      </c>
      <c r="AR563" s="49">
        <f>AQ563/AB563*100</f>
        <v>100</v>
      </c>
      <c r="AS563" s="49">
        <f t="shared" si="125"/>
        <v>0</v>
      </c>
      <c r="AT563" s="49">
        <v>3091500</v>
      </c>
      <c r="AU563" s="49">
        <f>AT563+U563</f>
        <v>4591500</v>
      </c>
      <c r="AV563" s="49">
        <f>AK563</f>
        <v>1500000</v>
      </c>
      <c r="AW563" s="72">
        <f>AV563/AU563*100</f>
        <v>32.66906239790918</v>
      </c>
      <c r="AX563" s="49">
        <f>AU563-AV563</f>
        <v>3091500</v>
      </c>
      <c r="AY563" s="49">
        <f t="shared" si="126"/>
        <v>0</v>
      </c>
      <c r="AZ563" s="73">
        <f t="shared" si="128"/>
        <v>1500000</v>
      </c>
    </row>
    <row r="564" spans="1:53" ht="20.100000000000001" customHeight="1">
      <c r="A564" s="68"/>
      <c r="B564" s="69"/>
      <c r="C564" s="240" t="s">
        <v>768</v>
      </c>
      <c r="D564" s="240"/>
      <c r="E564" s="241"/>
      <c r="F564" s="70"/>
      <c r="G564" s="71"/>
      <c r="H564" s="71"/>
      <c r="I564" s="71"/>
      <c r="J564" s="240" t="s">
        <v>155</v>
      </c>
      <c r="K564" s="241"/>
      <c r="L564" s="49">
        <v>315000</v>
      </c>
      <c r="M564" s="49">
        <v>0</v>
      </c>
      <c r="N564" s="49"/>
      <c r="O564" s="49"/>
      <c r="P564" s="49"/>
      <c r="Q564" s="49">
        <f>SUM(N564:P564)</f>
        <v>0</v>
      </c>
      <c r="R564" s="72"/>
      <c r="S564" s="49">
        <f>M564-Q564</f>
        <v>0</v>
      </c>
      <c r="T564" s="49">
        <v>315000</v>
      </c>
      <c r="U564" s="49">
        <f>T564+M564</f>
        <v>315000</v>
      </c>
      <c r="V564" s="49">
        <f>T564+S564</f>
        <v>315000</v>
      </c>
      <c r="W564" s="49">
        <v>175000</v>
      </c>
      <c r="X564" s="49"/>
      <c r="Y564" s="49"/>
      <c r="Z564" s="49"/>
      <c r="AA564" s="49">
        <v>0</v>
      </c>
      <c r="AB564" s="49">
        <v>315000</v>
      </c>
      <c r="AC564" s="49">
        <f t="shared" ref="AC564:AC627" si="130">AB564-L564</f>
        <v>0</v>
      </c>
      <c r="AD564" s="49">
        <f>AA564+T564+M564</f>
        <v>315000</v>
      </c>
      <c r="AE564" s="49"/>
      <c r="AF564" s="49"/>
      <c r="AG564" s="49">
        <v>0</v>
      </c>
      <c r="AH564" s="49"/>
      <c r="AI564" s="49">
        <v>0</v>
      </c>
      <c r="AJ564" s="49">
        <v>0</v>
      </c>
      <c r="AK564" s="49">
        <f>Z564+Y564+X564+W564+N564+AG564+AE564+AJ564+AI564+AH564</f>
        <v>175000</v>
      </c>
      <c r="AL564" s="49">
        <f>AK564/AD564*100</f>
        <v>55.555555555555557</v>
      </c>
      <c r="AM564" s="49"/>
      <c r="AN564" s="49"/>
      <c r="AO564" s="49"/>
      <c r="AP564" s="42">
        <v>140000</v>
      </c>
      <c r="AQ564" s="49">
        <f>AK564+AM564+AN564+AO564+AP564</f>
        <v>315000</v>
      </c>
      <c r="AR564" s="49">
        <f>AQ564/AB564*100</f>
        <v>100</v>
      </c>
      <c r="AS564" s="49">
        <f t="shared" si="125"/>
        <v>0</v>
      </c>
      <c r="AT564" s="49">
        <v>3091500</v>
      </c>
      <c r="AU564" s="49">
        <f>AT564+U564</f>
        <v>3406500</v>
      </c>
      <c r="AV564" s="49">
        <f>AK564</f>
        <v>175000</v>
      </c>
      <c r="AW564" s="72">
        <f>AV564/AU564*100</f>
        <v>5.1372376339351238</v>
      </c>
      <c r="AX564" s="49">
        <f>AU564-AV564</f>
        <v>3231500</v>
      </c>
      <c r="AY564" s="49">
        <f t="shared" si="126"/>
        <v>0</v>
      </c>
      <c r="AZ564" s="73">
        <f t="shared" si="128"/>
        <v>315000</v>
      </c>
    </row>
    <row r="565" spans="1:53" ht="20.100000000000001" customHeight="1">
      <c r="A565" s="68"/>
      <c r="B565" s="69"/>
      <c r="C565" s="240" t="s">
        <v>769</v>
      </c>
      <c r="D565" s="240"/>
      <c r="E565" s="241"/>
      <c r="F565" s="70"/>
      <c r="G565" s="71"/>
      <c r="H565" s="71"/>
      <c r="I565" s="240" t="s">
        <v>712</v>
      </c>
      <c r="J565" s="240"/>
      <c r="K565" s="241"/>
      <c r="L565" s="49"/>
      <c r="M565" s="49"/>
      <c r="N565" s="49"/>
      <c r="O565" s="49"/>
      <c r="P565" s="49"/>
      <c r="Q565" s="49"/>
      <c r="R565" s="72"/>
      <c r="S565" s="49"/>
      <c r="T565" s="49"/>
      <c r="U565" s="49"/>
      <c r="V565" s="49"/>
      <c r="W565" s="49"/>
      <c r="X565" s="49" t="s">
        <v>770</v>
      </c>
      <c r="Y565" s="49"/>
      <c r="Z565" s="49"/>
      <c r="AA565" s="49"/>
      <c r="AB565" s="49"/>
      <c r="AC565" s="49">
        <f t="shared" si="130"/>
        <v>0</v>
      </c>
      <c r="AD565" s="49"/>
      <c r="AE565" s="49"/>
      <c r="AF565" s="49"/>
      <c r="AG565" s="49"/>
      <c r="AH565" s="49"/>
      <c r="AI565" s="49"/>
      <c r="AJ565" s="49"/>
      <c r="AK565" s="49"/>
      <c r="AL565" s="49"/>
      <c r="AM565" s="49"/>
      <c r="AN565" s="49"/>
      <c r="AO565" s="49"/>
      <c r="AP565" s="42"/>
      <c r="AQ565" s="49"/>
      <c r="AR565" s="49"/>
      <c r="AS565" s="49"/>
      <c r="AT565" s="49"/>
      <c r="AU565" s="49"/>
      <c r="AV565" s="49"/>
      <c r="AW565" s="49"/>
      <c r="AX565" s="49"/>
      <c r="AY565" s="49"/>
      <c r="AZ565" s="73">
        <f t="shared" si="128"/>
        <v>0</v>
      </c>
    </row>
    <row r="566" spans="1:53" ht="20.100000000000001" customHeight="1">
      <c r="A566" s="68"/>
      <c r="B566" s="69"/>
      <c r="C566" s="240" t="s">
        <v>771</v>
      </c>
      <c r="D566" s="240"/>
      <c r="E566" s="241"/>
      <c r="F566" s="70"/>
      <c r="G566" s="71"/>
      <c r="H566" s="71"/>
      <c r="I566" s="71"/>
      <c r="J566" s="240" t="s">
        <v>714</v>
      </c>
      <c r="K566" s="241"/>
      <c r="L566" s="49">
        <v>49000000</v>
      </c>
      <c r="M566" s="49">
        <v>0</v>
      </c>
      <c r="N566" s="49"/>
      <c r="O566" s="49"/>
      <c r="P566" s="49"/>
      <c r="Q566" s="49">
        <f>SUM(N566:P566)</f>
        <v>0</v>
      </c>
      <c r="R566" s="72"/>
      <c r="S566" s="49">
        <f>M566-Q566</f>
        <v>0</v>
      </c>
      <c r="T566" s="49">
        <v>49000000</v>
      </c>
      <c r="U566" s="49">
        <f>T566+M566</f>
        <v>49000000</v>
      </c>
      <c r="V566" s="49">
        <f>T566+S566</f>
        <v>49000000</v>
      </c>
      <c r="W566" s="49"/>
      <c r="X566" s="49">
        <f>29000000+16000000</f>
        <v>45000000</v>
      </c>
      <c r="Y566" s="49"/>
      <c r="Z566" s="49"/>
      <c r="AA566" s="49">
        <v>0</v>
      </c>
      <c r="AB566" s="49">
        <v>49000000</v>
      </c>
      <c r="AC566" s="49">
        <f t="shared" si="130"/>
        <v>0</v>
      </c>
      <c r="AD566" s="49">
        <f>AA566+T566+M566</f>
        <v>49000000</v>
      </c>
      <c r="AE566" s="49"/>
      <c r="AF566" s="49"/>
      <c r="AG566" s="49"/>
      <c r="AH566" s="49"/>
      <c r="AI566" s="49"/>
      <c r="AJ566" s="49"/>
      <c r="AK566" s="49">
        <f>Z566+Y566+X566+W566+N566+AG566+AE566+AJ566+AI566+AH566</f>
        <v>45000000</v>
      </c>
      <c r="AL566" s="49">
        <f>AK566/AD566*100</f>
        <v>91.83673469387756</v>
      </c>
      <c r="AM566" s="49"/>
      <c r="AN566" s="49"/>
      <c r="AO566" s="49"/>
      <c r="AP566" s="42">
        <v>0</v>
      </c>
      <c r="AQ566" s="49">
        <f>AK566+AM566+AN566+AO566+AP566</f>
        <v>45000000</v>
      </c>
      <c r="AR566" s="49">
        <f>AQ566/AB566*100</f>
        <v>91.83673469387756</v>
      </c>
      <c r="AS566" s="49">
        <f t="shared" si="125"/>
        <v>4000000</v>
      </c>
      <c r="AT566" s="49">
        <v>3091500</v>
      </c>
      <c r="AU566" s="49">
        <f>AT566+U566</f>
        <v>52091500</v>
      </c>
      <c r="AV566" s="49">
        <f>AK566</f>
        <v>45000000</v>
      </c>
      <c r="AW566" s="72">
        <f>AV566/AU566*100</f>
        <v>86.386454603918111</v>
      </c>
      <c r="AX566" s="49">
        <f>AU566-AV566</f>
        <v>7091500</v>
      </c>
      <c r="AY566" s="49">
        <f t="shared" si="126"/>
        <v>8.1632653061224492</v>
      </c>
      <c r="AZ566" s="73">
        <f t="shared" si="128"/>
        <v>45000000</v>
      </c>
      <c r="BA566" s="29">
        <f>AS566</f>
        <v>4000000</v>
      </c>
    </row>
    <row r="567" spans="1:53" ht="20.100000000000001" customHeight="1">
      <c r="A567" s="68"/>
      <c r="B567" s="69"/>
      <c r="C567" s="240" t="s">
        <v>772</v>
      </c>
      <c r="D567" s="240"/>
      <c r="E567" s="241"/>
      <c r="F567" s="70"/>
      <c r="G567" s="71"/>
      <c r="H567" s="71"/>
      <c r="I567" s="240" t="s">
        <v>328</v>
      </c>
      <c r="J567" s="240"/>
      <c r="K567" s="241"/>
      <c r="L567" s="49"/>
      <c r="M567" s="49"/>
      <c r="N567" s="49"/>
      <c r="O567" s="49"/>
      <c r="P567" s="49"/>
      <c r="Q567" s="49"/>
      <c r="R567" s="72"/>
      <c r="S567" s="49"/>
      <c r="T567" s="49"/>
      <c r="U567" s="49"/>
      <c r="V567" s="49"/>
      <c r="W567" s="49"/>
      <c r="X567" s="49"/>
      <c r="Y567" s="49"/>
      <c r="Z567" s="49"/>
      <c r="AA567" s="49"/>
      <c r="AB567" s="49"/>
      <c r="AC567" s="49">
        <f t="shared" si="130"/>
        <v>0</v>
      </c>
      <c r="AD567" s="49"/>
      <c r="AE567" s="49"/>
      <c r="AF567" s="49"/>
      <c r="AG567" s="49"/>
      <c r="AH567" s="49"/>
      <c r="AI567" s="49"/>
      <c r="AJ567" s="49"/>
      <c r="AK567" s="49"/>
      <c r="AL567" s="49"/>
      <c r="AM567" s="49"/>
      <c r="AN567" s="49"/>
      <c r="AO567" s="49"/>
      <c r="AP567" s="42"/>
      <c r="AQ567" s="49"/>
      <c r="AR567" s="49"/>
      <c r="AS567" s="49"/>
      <c r="AT567" s="49"/>
      <c r="AU567" s="49"/>
      <c r="AV567" s="49"/>
      <c r="AW567" s="49"/>
      <c r="AX567" s="49"/>
      <c r="AY567" s="49"/>
      <c r="AZ567" s="73">
        <f t="shared" si="128"/>
        <v>0</v>
      </c>
    </row>
    <row r="568" spans="1:53" ht="20.100000000000001" customHeight="1">
      <c r="A568" s="68"/>
      <c r="B568" s="69"/>
      <c r="C568" s="240" t="s">
        <v>773</v>
      </c>
      <c r="D568" s="240"/>
      <c r="E568" s="241"/>
      <c r="F568" s="70"/>
      <c r="G568" s="71"/>
      <c r="H568" s="71"/>
      <c r="I568" s="71"/>
      <c r="J568" s="240" t="s">
        <v>330</v>
      </c>
      <c r="K568" s="241"/>
      <c r="L568" s="49">
        <v>25000000</v>
      </c>
      <c r="M568" s="49">
        <v>0</v>
      </c>
      <c r="N568" s="49"/>
      <c r="O568" s="49"/>
      <c r="P568" s="49"/>
      <c r="Q568" s="49">
        <f>SUM(N568:P568)</f>
        <v>0</v>
      </c>
      <c r="R568" s="72"/>
      <c r="S568" s="49">
        <f>M568-Q568</f>
        <v>0</v>
      </c>
      <c r="T568" s="49">
        <v>22000000</v>
      </c>
      <c r="U568" s="49">
        <f>T568+M568</f>
        <v>22000000</v>
      </c>
      <c r="V568" s="49">
        <f>T568+S568</f>
        <v>22000000</v>
      </c>
      <c r="W568" s="49">
        <v>21000000</v>
      </c>
      <c r="X568" s="49"/>
      <c r="Y568" s="49"/>
      <c r="Z568" s="49"/>
      <c r="AA568" s="49">
        <v>3000000</v>
      </c>
      <c r="AB568" s="49">
        <v>25000000</v>
      </c>
      <c r="AC568" s="49">
        <f t="shared" si="130"/>
        <v>0</v>
      </c>
      <c r="AD568" s="49">
        <f>AA568+T568+M568</f>
        <v>25000000</v>
      </c>
      <c r="AE568" s="49"/>
      <c r="AF568" s="49"/>
      <c r="AG568" s="49">
        <v>0</v>
      </c>
      <c r="AH568" s="49"/>
      <c r="AI568" s="49">
        <v>0</v>
      </c>
      <c r="AJ568" s="49">
        <v>0</v>
      </c>
      <c r="AK568" s="49">
        <f>Z568+Y568+X568+W568+N568+AG568+AE568+AJ568+AI568+AH568</f>
        <v>21000000</v>
      </c>
      <c r="AL568" s="49">
        <f>AK568/AD568*100</f>
        <v>84</v>
      </c>
      <c r="AM568" s="49"/>
      <c r="AN568" s="49"/>
      <c r="AO568" s="49"/>
      <c r="AP568" s="42">
        <v>4000000</v>
      </c>
      <c r="AQ568" s="49">
        <f>AK568+AM568+AN568+AO568+AP568</f>
        <v>25000000</v>
      </c>
      <c r="AR568" s="49">
        <f>AQ568/AB568*100</f>
        <v>100</v>
      </c>
      <c r="AS568" s="49">
        <f t="shared" si="125"/>
        <v>0</v>
      </c>
      <c r="AT568" s="49">
        <v>3091500</v>
      </c>
      <c r="AU568" s="49">
        <f>AT568+U568</f>
        <v>25091500</v>
      </c>
      <c r="AV568" s="49">
        <f>AK568</f>
        <v>21000000</v>
      </c>
      <c r="AW568" s="72">
        <f>AV568/AU568*100</f>
        <v>83.69368112707491</v>
      </c>
      <c r="AX568" s="49">
        <f>AU568-AV568</f>
        <v>4091500</v>
      </c>
      <c r="AY568" s="49">
        <f t="shared" si="126"/>
        <v>0</v>
      </c>
      <c r="AZ568" s="73">
        <f t="shared" si="128"/>
        <v>25000000</v>
      </c>
    </row>
    <row r="569" spans="1:53" ht="20.100000000000001" customHeight="1">
      <c r="A569" s="68"/>
      <c r="B569" s="69"/>
      <c r="C569" s="240" t="s">
        <v>774</v>
      </c>
      <c r="D569" s="240"/>
      <c r="E569" s="241"/>
      <c r="F569" s="70"/>
      <c r="G569" s="71"/>
      <c r="H569" s="71"/>
      <c r="I569" s="240" t="s">
        <v>193</v>
      </c>
      <c r="J569" s="240"/>
      <c r="K569" s="241"/>
      <c r="L569" s="49"/>
      <c r="M569" s="49"/>
      <c r="N569" s="49"/>
      <c r="O569" s="49"/>
      <c r="P569" s="49"/>
      <c r="Q569" s="49"/>
      <c r="R569" s="72"/>
      <c r="S569" s="49"/>
      <c r="T569" s="49"/>
      <c r="U569" s="49"/>
      <c r="V569" s="49"/>
      <c r="W569" s="49"/>
      <c r="X569" s="49"/>
      <c r="Y569" s="49"/>
      <c r="Z569" s="49"/>
      <c r="AA569" s="49"/>
      <c r="AB569" s="49"/>
      <c r="AC569" s="49">
        <f t="shared" si="130"/>
        <v>0</v>
      </c>
      <c r="AD569" s="49"/>
      <c r="AE569" s="49"/>
      <c r="AF569" s="49"/>
      <c r="AG569" s="49"/>
      <c r="AH569" s="49"/>
      <c r="AI569" s="49"/>
      <c r="AJ569" s="49"/>
      <c r="AK569" s="49"/>
      <c r="AL569" s="49"/>
      <c r="AM569" s="49"/>
      <c r="AN569" s="49"/>
      <c r="AO569" s="49"/>
      <c r="AP569" s="42"/>
      <c r="AQ569" s="49"/>
      <c r="AR569" s="49"/>
      <c r="AS569" s="49"/>
      <c r="AT569" s="49"/>
      <c r="AU569" s="49"/>
      <c r="AV569" s="49"/>
      <c r="AW569" s="49"/>
      <c r="AX569" s="49"/>
      <c r="AY569" s="49"/>
      <c r="AZ569" s="73">
        <f t="shared" si="128"/>
        <v>0</v>
      </c>
    </row>
    <row r="570" spans="1:53" ht="20.100000000000001" customHeight="1">
      <c r="A570" s="68"/>
      <c r="B570" s="69"/>
      <c r="C570" s="240" t="s">
        <v>775</v>
      </c>
      <c r="D570" s="240"/>
      <c r="E570" s="241"/>
      <c r="F570" s="70"/>
      <c r="G570" s="71"/>
      <c r="H570" s="71"/>
      <c r="I570" s="71"/>
      <c r="J570" s="240" t="s">
        <v>195</v>
      </c>
      <c r="K570" s="241"/>
      <c r="L570" s="49">
        <v>10430000</v>
      </c>
      <c r="M570" s="49">
        <v>525000</v>
      </c>
      <c r="N570" s="49">
        <v>525000</v>
      </c>
      <c r="O570" s="49"/>
      <c r="P570" s="49"/>
      <c r="Q570" s="49">
        <f>SUM(N570:P570)</f>
        <v>525000</v>
      </c>
      <c r="R570" s="72">
        <f>Q570/M570*100</f>
        <v>100</v>
      </c>
      <c r="S570" s="49">
        <f>M570-Q570</f>
        <v>0</v>
      </c>
      <c r="T570" s="49">
        <v>525000</v>
      </c>
      <c r="U570" s="49">
        <f>T570+M570</f>
        <v>1050000</v>
      </c>
      <c r="V570" s="49">
        <f>T570+S570</f>
        <v>525000</v>
      </c>
      <c r="W570" s="49">
        <v>525000</v>
      </c>
      <c r="X570" s="49"/>
      <c r="Y570" s="49"/>
      <c r="Z570" s="49"/>
      <c r="AA570" s="49">
        <v>9380000</v>
      </c>
      <c r="AB570" s="49">
        <v>10430000</v>
      </c>
      <c r="AC570" s="49">
        <f t="shared" si="130"/>
        <v>0</v>
      </c>
      <c r="AD570" s="49">
        <f>AA570+T570+M570</f>
        <v>10430000</v>
      </c>
      <c r="AE570" s="49"/>
      <c r="AF570" s="49"/>
      <c r="AG570" s="49">
        <v>0</v>
      </c>
      <c r="AH570" s="49"/>
      <c r="AI570" s="49">
        <v>0</v>
      </c>
      <c r="AJ570" s="49">
        <v>0</v>
      </c>
      <c r="AK570" s="49">
        <f>Z570+Y570+X570+W570+N570+AG570+AE570+AJ570+AI570+AH570</f>
        <v>1050000</v>
      </c>
      <c r="AL570" s="49">
        <f>AK570/AD570*100</f>
        <v>10.067114093959731</v>
      </c>
      <c r="AM570" s="49"/>
      <c r="AN570" s="49"/>
      <c r="AO570" s="49"/>
      <c r="AP570" s="42">
        <v>9380000</v>
      </c>
      <c r="AQ570" s="49">
        <f>AK570+AM570+AN570+AO570+AP570</f>
        <v>10430000</v>
      </c>
      <c r="AR570" s="49">
        <f>AQ570/AB570*100</f>
        <v>100</v>
      </c>
      <c r="AS570" s="49">
        <f t="shared" si="125"/>
        <v>0</v>
      </c>
      <c r="AT570" s="49">
        <v>3091500</v>
      </c>
      <c r="AU570" s="49">
        <f>AT570+U570</f>
        <v>4141500</v>
      </c>
      <c r="AV570" s="49">
        <f>AK570</f>
        <v>1050000</v>
      </c>
      <c r="AW570" s="72">
        <f>AV570/AU570*100</f>
        <v>25.353132922854037</v>
      </c>
      <c r="AX570" s="49">
        <f>AU570-AV570</f>
        <v>3091500</v>
      </c>
      <c r="AY570" s="49">
        <f t="shared" si="126"/>
        <v>0</v>
      </c>
      <c r="AZ570" s="73">
        <f t="shared" si="128"/>
        <v>10430000</v>
      </c>
    </row>
    <row r="571" spans="1:53" ht="20.100000000000001" customHeight="1">
      <c r="A571" s="68"/>
      <c r="B571" s="69"/>
      <c r="C571" s="240" t="s">
        <v>776</v>
      </c>
      <c r="D571" s="240"/>
      <c r="E571" s="241"/>
      <c r="F571" s="70"/>
      <c r="G571" s="71"/>
      <c r="H571" s="71"/>
      <c r="I571" s="240" t="s">
        <v>777</v>
      </c>
      <c r="J571" s="240"/>
      <c r="K571" s="241"/>
      <c r="L571" s="49"/>
      <c r="M571" s="49"/>
      <c r="N571" s="49"/>
      <c r="O571" s="49"/>
      <c r="P571" s="49"/>
      <c r="Q571" s="49"/>
      <c r="R571" s="72"/>
      <c r="S571" s="49"/>
      <c r="T571" s="49"/>
      <c r="U571" s="49"/>
      <c r="V571" s="49"/>
      <c r="W571" s="49"/>
      <c r="X571" s="49"/>
      <c r="Y571" s="49"/>
      <c r="Z571" s="49"/>
      <c r="AA571" s="49"/>
      <c r="AB571" s="49"/>
      <c r="AC571" s="49">
        <f t="shared" si="130"/>
        <v>0</v>
      </c>
      <c r="AD571" s="49"/>
      <c r="AE571" s="49"/>
      <c r="AF571" s="49"/>
      <c r="AG571" s="49"/>
      <c r="AH571" s="49"/>
      <c r="AI571" s="49"/>
      <c r="AJ571" s="49"/>
      <c r="AK571" s="49"/>
      <c r="AL571" s="49"/>
      <c r="AM571" s="49"/>
      <c r="AN571" s="49"/>
      <c r="AO571" s="49"/>
      <c r="AP571" s="42"/>
      <c r="AQ571" s="49"/>
      <c r="AR571" s="49"/>
      <c r="AS571" s="49"/>
      <c r="AT571" s="49"/>
      <c r="AU571" s="49"/>
      <c r="AV571" s="49"/>
      <c r="AW571" s="49"/>
      <c r="AX571" s="49"/>
      <c r="AY571" s="49"/>
      <c r="AZ571" s="73">
        <f t="shared" si="128"/>
        <v>0</v>
      </c>
    </row>
    <row r="572" spans="1:53" ht="20.100000000000001" customHeight="1">
      <c r="A572" s="68"/>
      <c r="B572" s="69"/>
      <c r="C572" s="240" t="s">
        <v>778</v>
      </c>
      <c r="D572" s="240"/>
      <c r="E572" s="241"/>
      <c r="F572" s="70"/>
      <c r="G572" s="71"/>
      <c r="H572" s="71"/>
      <c r="I572" s="71"/>
      <c r="J572" s="240" t="s">
        <v>779</v>
      </c>
      <c r="K572" s="241"/>
      <c r="L572" s="49">
        <v>3000000</v>
      </c>
      <c r="M572" s="49">
        <v>0</v>
      </c>
      <c r="N572" s="49"/>
      <c r="O572" s="49"/>
      <c r="P572" s="49"/>
      <c r="Q572" s="49">
        <f>SUM(N572:P572)</f>
        <v>0</v>
      </c>
      <c r="R572" s="72"/>
      <c r="S572" s="49">
        <f>M572-Q572</f>
        <v>0</v>
      </c>
      <c r="T572" s="49">
        <v>0</v>
      </c>
      <c r="U572" s="49">
        <f>T572+M572</f>
        <v>0</v>
      </c>
      <c r="V572" s="49">
        <f>T572+S572</f>
        <v>0</v>
      </c>
      <c r="W572" s="49"/>
      <c r="X572" s="49"/>
      <c r="Y572" s="49"/>
      <c r="Z572" s="49"/>
      <c r="AA572" s="49">
        <v>3000000</v>
      </c>
      <c r="AB572" s="49">
        <v>3000000</v>
      </c>
      <c r="AC572" s="49">
        <f t="shared" si="130"/>
        <v>0</v>
      </c>
      <c r="AD572" s="49">
        <f>AA572+T572+M572</f>
        <v>3000000</v>
      </c>
      <c r="AE572" s="49"/>
      <c r="AF572" s="49"/>
      <c r="AG572" s="49"/>
      <c r="AH572" s="49"/>
      <c r="AI572" s="49"/>
      <c r="AJ572" s="49"/>
      <c r="AK572" s="49">
        <f>Z572+Y572+X572+W572+N572+AG572+AE572+AJ572+AI572+AH572</f>
        <v>0</v>
      </c>
      <c r="AL572" s="49">
        <f>AK572/AD572*100</f>
        <v>0</v>
      </c>
      <c r="AM572" s="49"/>
      <c r="AN572" s="49"/>
      <c r="AO572" s="49"/>
      <c r="AP572" s="42">
        <v>3000000</v>
      </c>
      <c r="AQ572" s="49">
        <f>AK572+AM572+AN572+AO572+AP572</f>
        <v>3000000</v>
      </c>
      <c r="AR572" s="49">
        <f>AQ572/AB572*100</f>
        <v>100</v>
      </c>
      <c r="AS572" s="49">
        <f t="shared" si="125"/>
        <v>0</v>
      </c>
      <c r="AT572" s="49">
        <v>3091500</v>
      </c>
      <c r="AU572" s="49">
        <f>AT572+U572</f>
        <v>3091500</v>
      </c>
      <c r="AV572" s="49">
        <f>AK572</f>
        <v>0</v>
      </c>
      <c r="AW572" s="72">
        <f>AV572/AU572*100</f>
        <v>0</v>
      </c>
      <c r="AX572" s="49">
        <f>AU572-AV572</f>
        <v>3091500</v>
      </c>
      <c r="AY572" s="49">
        <f t="shared" si="126"/>
        <v>0</v>
      </c>
      <c r="AZ572" s="73">
        <f t="shared" si="128"/>
        <v>3000000</v>
      </c>
    </row>
    <row r="573" spans="1:53" ht="20.100000000000001" customHeight="1">
      <c r="A573" s="68"/>
      <c r="B573" s="69"/>
      <c r="C573" s="240" t="s">
        <v>780</v>
      </c>
      <c r="D573" s="240"/>
      <c r="E573" s="241"/>
      <c r="F573" s="70"/>
      <c r="G573" s="71"/>
      <c r="H573" s="71"/>
      <c r="I573" s="240" t="s">
        <v>157</v>
      </c>
      <c r="J573" s="240"/>
      <c r="K573" s="241"/>
      <c r="L573" s="49"/>
      <c r="M573" s="49"/>
      <c r="N573" s="49"/>
      <c r="O573" s="49"/>
      <c r="P573" s="49"/>
      <c r="Q573" s="49"/>
      <c r="R573" s="72"/>
      <c r="S573" s="49"/>
      <c r="T573" s="49"/>
      <c r="U573" s="49"/>
      <c r="V573" s="49"/>
      <c r="W573" s="49"/>
      <c r="X573" s="49"/>
      <c r="Y573" s="49"/>
      <c r="Z573" s="49"/>
      <c r="AA573" s="49"/>
      <c r="AB573" s="49"/>
      <c r="AC573" s="49">
        <f t="shared" si="130"/>
        <v>0</v>
      </c>
      <c r="AD573" s="49"/>
      <c r="AE573" s="49"/>
      <c r="AF573" s="49"/>
      <c r="AG573" s="49"/>
      <c r="AH573" s="49"/>
      <c r="AI573" s="49"/>
      <c r="AJ573" s="49"/>
      <c r="AK573" s="49"/>
      <c r="AL573" s="49"/>
      <c r="AM573" s="49"/>
      <c r="AN573" s="49"/>
      <c r="AO573" s="49"/>
      <c r="AP573" s="42"/>
      <c r="AQ573" s="49"/>
      <c r="AR573" s="49"/>
      <c r="AS573" s="49"/>
      <c r="AT573" s="49"/>
      <c r="AU573" s="49"/>
      <c r="AV573" s="49"/>
      <c r="AW573" s="49"/>
      <c r="AX573" s="49"/>
      <c r="AY573" s="49"/>
      <c r="AZ573" s="73">
        <f t="shared" si="128"/>
        <v>0</v>
      </c>
    </row>
    <row r="574" spans="1:53" ht="20.100000000000001" customHeight="1">
      <c r="A574" s="68"/>
      <c r="B574" s="69"/>
      <c r="C574" s="240" t="s">
        <v>781</v>
      </c>
      <c r="D574" s="240"/>
      <c r="E574" s="241"/>
      <c r="F574" s="70"/>
      <c r="G574" s="71"/>
      <c r="H574" s="71"/>
      <c r="I574" s="71"/>
      <c r="J574" s="240" t="s">
        <v>159</v>
      </c>
      <c r="K574" s="241"/>
      <c r="L574" s="49">
        <v>8300000</v>
      </c>
      <c r="M574" s="49">
        <v>2000000</v>
      </c>
      <c r="N574" s="49"/>
      <c r="O574" s="49"/>
      <c r="P574" s="49"/>
      <c r="Q574" s="49">
        <f>SUM(N574:P574)</f>
        <v>0</v>
      </c>
      <c r="R574" s="72">
        <f>Q574/M574*100</f>
        <v>0</v>
      </c>
      <c r="S574" s="49">
        <f>M574-Q574</f>
        <v>2000000</v>
      </c>
      <c r="T574" s="49">
        <v>2000000</v>
      </c>
      <c r="U574" s="49">
        <f>T574+M574</f>
        <v>4000000</v>
      </c>
      <c r="V574" s="49">
        <f>T574+S574</f>
        <v>4000000</v>
      </c>
      <c r="W574" s="49"/>
      <c r="X574" s="49"/>
      <c r="Y574" s="49"/>
      <c r="Z574" s="49"/>
      <c r="AA574" s="49">
        <v>4300000</v>
      </c>
      <c r="AB574" s="49">
        <v>8300000</v>
      </c>
      <c r="AC574" s="49">
        <f t="shared" si="130"/>
        <v>0</v>
      </c>
      <c r="AD574" s="49">
        <f>AA574+T574+M574</f>
        <v>8300000</v>
      </c>
      <c r="AE574" s="49"/>
      <c r="AF574" s="49"/>
      <c r="AG574" s="49"/>
      <c r="AH574" s="49"/>
      <c r="AI574" s="49"/>
      <c r="AJ574" s="49">
        <v>1280000</v>
      </c>
      <c r="AK574" s="49">
        <f>Z574+Y574+X574+W574+N574+AG574+AE574+AJ574+AI574+AH574</f>
        <v>1280000</v>
      </c>
      <c r="AL574" s="49">
        <f>AK574/AD574*100</f>
        <v>15.421686746987953</v>
      </c>
      <c r="AM574" s="49"/>
      <c r="AN574" s="49"/>
      <c r="AO574" s="49"/>
      <c r="AP574" s="42">
        <v>7020000</v>
      </c>
      <c r="AQ574" s="49">
        <f>AK574+AM574+AN574+AO574+AP574</f>
        <v>8300000</v>
      </c>
      <c r="AR574" s="49">
        <f>AQ574/AB574*100</f>
        <v>100</v>
      </c>
      <c r="AS574" s="49">
        <f t="shared" si="125"/>
        <v>0</v>
      </c>
      <c r="AT574" s="49">
        <v>3091500</v>
      </c>
      <c r="AU574" s="49">
        <f>AT574+U574</f>
        <v>7091500</v>
      </c>
      <c r="AV574" s="49">
        <f>AK574</f>
        <v>1280000</v>
      </c>
      <c r="AW574" s="72">
        <f>AV574/AU574*100</f>
        <v>18.049777903123456</v>
      </c>
      <c r="AX574" s="49">
        <f>AU574-AV574</f>
        <v>5811500</v>
      </c>
      <c r="AY574" s="49">
        <f t="shared" si="126"/>
        <v>0</v>
      </c>
      <c r="AZ574" s="73">
        <f t="shared" si="128"/>
        <v>8300000</v>
      </c>
    </row>
    <row r="575" spans="1:53" ht="20.100000000000001" customHeight="1">
      <c r="A575" s="68"/>
      <c r="B575" s="69"/>
      <c r="C575" s="240" t="s">
        <v>782</v>
      </c>
      <c r="D575" s="240"/>
      <c r="E575" s="241"/>
      <c r="F575" s="70"/>
      <c r="G575" s="71"/>
      <c r="H575" s="71"/>
      <c r="I575" s="71"/>
      <c r="J575" s="240" t="s">
        <v>207</v>
      </c>
      <c r="K575" s="241"/>
      <c r="L575" s="49">
        <v>127213000</v>
      </c>
      <c r="M575" s="49">
        <v>0</v>
      </c>
      <c r="N575" s="49"/>
      <c r="O575" s="49"/>
      <c r="P575" s="49"/>
      <c r="Q575" s="49">
        <f>SUM(N575:P575)</f>
        <v>0</v>
      </c>
      <c r="R575" s="72"/>
      <c r="S575" s="49">
        <f>M575-Q575</f>
        <v>0</v>
      </c>
      <c r="T575" s="49">
        <v>110309900</v>
      </c>
      <c r="U575" s="49">
        <f>T575+M575</f>
        <v>110309900</v>
      </c>
      <c r="V575" s="49">
        <f>T575+S575</f>
        <v>110309900</v>
      </c>
      <c r="W575" s="49"/>
      <c r="X575" s="49">
        <v>97446100</v>
      </c>
      <c r="Y575" s="49"/>
      <c r="Z575" s="49"/>
      <c r="AA575" s="49">
        <v>16903100</v>
      </c>
      <c r="AB575" s="49">
        <v>127213000</v>
      </c>
      <c r="AC575" s="49">
        <f t="shared" si="130"/>
        <v>0</v>
      </c>
      <c r="AD575" s="49">
        <f>AA575+T575+M575</f>
        <v>127213000</v>
      </c>
      <c r="AE575" s="49"/>
      <c r="AF575" s="49"/>
      <c r="AG575" s="49"/>
      <c r="AH575" s="49"/>
      <c r="AI575" s="49"/>
      <c r="AJ575" s="49">
        <v>3476000</v>
      </c>
      <c r="AK575" s="49">
        <f>Z575+Y575+X575+W575+N575+AG575+AE575+AJ575+AI575+AH575</f>
        <v>100922100</v>
      </c>
      <c r="AL575" s="49">
        <f>AK575/AD575*100</f>
        <v>79.333165635587548</v>
      </c>
      <c r="AM575" s="48"/>
      <c r="AN575" s="49"/>
      <c r="AO575" s="49"/>
      <c r="AP575" s="42">
        <v>26290900</v>
      </c>
      <c r="AQ575" s="49">
        <f>AK575+AM575+AN575+AO575+AP575</f>
        <v>127213000</v>
      </c>
      <c r="AR575" s="49">
        <f>AQ575/AB575*100</f>
        <v>100</v>
      </c>
      <c r="AS575" s="49">
        <f t="shared" si="125"/>
        <v>0</v>
      </c>
      <c r="AT575" s="49">
        <v>3091500</v>
      </c>
      <c r="AU575" s="49">
        <f>AT575+U575</f>
        <v>113401400</v>
      </c>
      <c r="AV575" s="49">
        <f>AK575</f>
        <v>100922100</v>
      </c>
      <c r="AW575" s="72">
        <f>AV575/AU575*100</f>
        <v>88.995462137151748</v>
      </c>
      <c r="AX575" s="49">
        <f>AU575-AV575</f>
        <v>12479300</v>
      </c>
      <c r="AY575" s="49">
        <f t="shared" si="126"/>
        <v>0</v>
      </c>
      <c r="AZ575" s="73">
        <f t="shared" si="128"/>
        <v>127213000</v>
      </c>
    </row>
    <row r="576" spans="1:53" ht="20.100000000000001" customHeight="1">
      <c r="A576" s="68"/>
      <c r="B576" s="69"/>
      <c r="C576" s="240" t="s">
        <v>783</v>
      </c>
      <c r="D576" s="240"/>
      <c r="E576" s="241"/>
      <c r="F576" s="70"/>
      <c r="G576" s="71"/>
      <c r="H576" s="71"/>
      <c r="I576" s="240" t="s">
        <v>402</v>
      </c>
      <c r="J576" s="240"/>
      <c r="K576" s="241"/>
      <c r="L576" s="49"/>
      <c r="M576" s="49"/>
      <c r="N576" s="49"/>
      <c r="O576" s="49"/>
      <c r="P576" s="49"/>
      <c r="Q576" s="49"/>
      <c r="R576" s="72"/>
      <c r="S576" s="49"/>
      <c r="T576" s="49"/>
      <c r="U576" s="49"/>
      <c r="V576" s="49"/>
      <c r="W576" s="49"/>
      <c r="X576" s="49"/>
      <c r="Y576" s="49"/>
      <c r="Z576" s="49"/>
      <c r="AA576" s="49"/>
      <c r="AB576" s="49"/>
      <c r="AC576" s="49">
        <f t="shared" si="130"/>
        <v>0</v>
      </c>
      <c r="AD576" s="49"/>
      <c r="AE576" s="49"/>
      <c r="AF576" s="49"/>
      <c r="AG576" s="49"/>
      <c r="AH576" s="49"/>
      <c r="AI576" s="49"/>
      <c r="AJ576" s="49"/>
      <c r="AK576" s="49"/>
      <c r="AL576" s="49"/>
      <c r="AM576" s="49"/>
      <c r="AN576" s="49"/>
      <c r="AO576" s="49"/>
      <c r="AP576" s="42"/>
      <c r="AQ576" s="49"/>
      <c r="AR576" s="49"/>
      <c r="AS576" s="49"/>
      <c r="AT576" s="49"/>
      <c r="AU576" s="49"/>
      <c r="AV576" s="49"/>
      <c r="AW576" s="49"/>
      <c r="AX576" s="49"/>
      <c r="AY576" s="49"/>
      <c r="AZ576" s="73">
        <f t="shared" si="128"/>
        <v>0</v>
      </c>
    </row>
    <row r="577" spans="1:54" ht="20.100000000000001" customHeight="1">
      <c r="A577" s="68"/>
      <c r="B577" s="69"/>
      <c r="C577" s="240" t="s">
        <v>784</v>
      </c>
      <c r="D577" s="240"/>
      <c r="E577" s="241"/>
      <c r="F577" s="70"/>
      <c r="G577" s="71"/>
      <c r="H577" s="71"/>
      <c r="I577" s="71"/>
      <c r="J577" s="240" t="s">
        <v>404</v>
      </c>
      <c r="K577" s="241"/>
      <c r="L577" s="49">
        <v>900000</v>
      </c>
      <c r="M577" s="49">
        <v>0</v>
      </c>
      <c r="N577" s="49"/>
      <c r="O577" s="49"/>
      <c r="P577" s="49"/>
      <c r="Q577" s="49">
        <f>SUM(N577:P577)</f>
        <v>0</v>
      </c>
      <c r="R577" s="72"/>
      <c r="S577" s="49">
        <f>M577-Q577</f>
        <v>0</v>
      </c>
      <c r="T577" s="49">
        <v>0</v>
      </c>
      <c r="U577" s="49">
        <f>T577+M577</f>
        <v>0</v>
      </c>
      <c r="V577" s="49">
        <f>T577+S577</f>
        <v>0</v>
      </c>
      <c r="W577" s="49"/>
      <c r="X577" s="49"/>
      <c r="Y577" s="49"/>
      <c r="Z577" s="49"/>
      <c r="AA577" s="49">
        <v>900000</v>
      </c>
      <c r="AB577" s="49">
        <v>900000</v>
      </c>
      <c r="AC577" s="49">
        <f t="shared" si="130"/>
        <v>0</v>
      </c>
      <c r="AD577" s="49">
        <f>AA577+T577+M577</f>
        <v>900000</v>
      </c>
      <c r="AE577" s="49"/>
      <c r="AF577" s="49"/>
      <c r="AG577" s="49"/>
      <c r="AH577" s="49"/>
      <c r="AI577" s="49"/>
      <c r="AJ577" s="49"/>
      <c r="AK577" s="49">
        <f>Z577+Y577+X577+W577+N577+AG577+AE577+AJ577+AI577+AH577</f>
        <v>0</v>
      </c>
      <c r="AL577" s="49">
        <f>AK577/AD577*100</f>
        <v>0</v>
      </c>
      <c r="AM577" s="49"/>
      <c r="AN577" s="49"/>
      <c r="AO577" s="49"/>
      <c r="AP577" s="42">
        <v>900000</v>
      </c>
      <c r="AQ577" s="49">
        <f>AK577+AM577+AN577+AO577+AP577</f>
        <v>900000</v>
      </c>
      <c r="AR577" s="49">
        <f>AQ577/AB577*100</f>
        <v>100</v>
      </c>
      <c r="AS577" s="49">
        <f t="shared" si="125"/>
        <v>0</v>
      </c>
      <c r="AT577" s="49">
        <v>3091500</v>
      </c>
      <c r="AU577" s="49">
        <f>AT577+U577</f>
        <v>3091500</v>
      </c>
      <c r="AV577" s="49">
        <f>AK577</f>
        <v>0</v>
      </c>
      <c r="AW577" s="72">
        <f>AV577/AU577*100</f>
        <v>0</v>
      </c>
      <c r="AX577" s="49">
        <f>AU577-AV577</f>
        <v>3091500</v>
      </c>
      <c r="AY577" s="49">
        <f t="shared" si="126"/>
        <v>0</v>
      </c>
      <c r="AZ577" s="73">
        <f t="shared" si="128"/>
        <v>900000</v>
      </c>
    </row>
    <row r="578" spans="1:54" ht="20.100000000000001" customHeight="1">
      <c r="A578" s="62">
        <v>35</v>
      </c>
      <c r="B578" s="63"/>
      <c r="C578" s="242" t="s">
        <v>785</v>
      </c>
      <c r="D578" s="242"/>
      <c r="E578" s="243"/>
      <c r="F578" s="64"/>
      <c r="G578" s="244" t="s">
        <v>36</v>
      </c>
      <c r="H578" s="244"/>
      <c r="I578" s="244"/>
      <c r="J578" s="244"/>
      <c r="K578" s="245"/>
      <c r="L578" s="65">
        <f>SUM(L581:L606)</f>
        <v>342500000</v>
      </c>
      <c r="M578" s="65">
        <f>SUM(M581:M606)</f>
        <v>28680000</v>
      </c>
      <c r="N578" s="65">
        <f>SUM(N581:N606)</f>
        <v>26429800</v>
      </c>
      <c r="O578" s="65">
        <f>SUM(O581:O606)</f>
        <v>0</v>
      </c>
      <c r="P578" s="65">
        <f>SUM(P581:P606)</f>
        <v>0</v>
      </c>
      <c r="Q578" s="65">
        <f>SUM(N578:P578)</f>
        <v>26429800</v>
      </c>
      <c r="R578" s="66">
        <f>Q578/M578*100</f>
        <v>92.154114365411431</v>
      </c>
      <c r="S578" s="65">
        <f>M578-Q578</f>
        <v>2250200</v>
      </c>
      <c r="T578" s="65">
        <f>SUM(T581:T606)</f>
        <v>61678000</v>
      </c>
      <c r="U578" s="65">
        <f>T578+M578</f>
        <v>90358000</v>
      </c>
      <c r="V578" s="65">
        <f>T578+S578</f>
        <v>63928200</v>
      </c>
      <c r="W578" s="65">
        <f>SUM(W581:W606)</f>
        <v>52067850</v>
      </c>
      <c r="X578" s="65">
        <f>SUM(X581:X606)</f>
        <v>0</v>
      </c>
      <c r="Y578" s="65">
        <f>SUM(Y581:Y606)</f>
        <v>0</v>
      </c>
      <c r="Z578" s="65"/>
      <c r="AA578" s="65">
        <f>SUM(AA581:AA606)</f>
        <v>148367000</v>
      </c>
      <c r="AB578" s="65">
        <f>SUM(AB581:AB606)</f>
        <v>342500000</v>
      </c>
      <c r="AC578" s="65">
        <f t="shared" si="130"/>
        <v>0</v>
      </c>
      <c r="AD578" s="65">
        <f>AA578+T578+M578</f>
        <v>238725000</v>
      </c>
      <c r="AE578" s="65">
        <f t="shared" ref="AE578:AK578" si="131">SUM(AE581:AE606)</f>
        <v>0</v>
      </c>
      <c r="AF578" s="65">
        <f t="shared" si="131"/>
        <v>0</v>
      </c>
      <c r="AG578" s="65">
        <f t="shared" si="131"/>
        <v>36875000</v>
      </c>
      <c r="AH578" s="65">
        <f t="shared" si="131"/>
        <v>0</v>
      </c>
      <c r="AI578" s="65">
        <f t="shared" si="131"/>
        <v>0</v>
      </c>
      <c r="AJ578" s="65">
        <f t="shared" si="131"/>
        <v>7225000</v>
      </c>
      <c r="AK578" s="65">
        <f t="shared" si="131"/>
        <v>122597650</v>
      </c>
      <c r="AL578" s="65">
        <f>AK578/AB578*100</f>
        <v>35.794934306569345</v>
      </c>
      <c r="AM578" s="65">
        <f>SUM(AM581:AM606)</f>
        <v>39875000</v>
      </c>
      <c r="AN578" s="65">
        <f>SUM(AN581:AN606)</f>
        <v>0</v>
      </c>
      <c r="AO578" s="65">
        <f>SUM(AO581:AO606)</f>
        <v>0</v>
      </c>
      <c r="AP578" s="42">
        <f>SUM(AP581:AP606)</f>
        <v>109965000</v>
      </c>
      <c r="AQ578" s="65">
        <f>AK578+AM578+AN578+AO578+AP578</f>
        <v>272437650</v>
      </c>
      <c r="AR578" s="65">
        <f>AQ578/AB578*100</f>
        <v>79.54383941605839</v>
      </c>
      <c r="AS578" s="65">
        <f>AB578-AQ578</f>
        <v>70062350</v>
      </c>
      <c r="AT578" s="65">
        <f>SUM(AT581:AT587)</f>
        <v>12366000</v>
      </c>
      <c r="AU578" s="65">
        <f>AT578+U578</f>
        <v>102724000</v>
      </c>
      <c r="AV578" s="65">
        <f>AK578</f>
        <v>122597650</v>
      </c>
      <c r="AW578" s="66">
        <f>AV578/AU578*100</f>
        <v>119.3466473268175</v>
      </c>
      <c r="AX578" s="65">
        <f>AU578-AV578</f>
        <v>-19873650</v>
      </c>
      <c r="AY578" s="65">
        <f>AS578/AB578*100</f>
        <v>20.456160583941607</v>
      </c>
      <c r="AZ578" s="67">
        <f>AQ578-AO578-AM578</f>
        <v>232562650</v>
      </c>
    </row>
    <row r="579" spans="1:54" ht="20.100000000000001" customHeight="1">
      <c r="A579" s="68"/>
      <c r="B579" s="69"/>
      <c r="C579" s="240" t="s">
        <v>786</v>
      </c>
      <c r="D579" s="240"/>
      <c r="E579" s="241"/>
      <c r="F579" s="70"/>
      <c r="G579" s="71"/>
      <c r="H579" s="240" t="s">
        <v>10</v>
      </c>
      <c r="I579" s="240"/>
      <c r="J579" s="240"/>
      <c r="K579" s="241"/>
      <c r="L579" s="49"/>
      <c r="M579" s="49"/>
      <c r="N579" s="49" t="s">
        <v>787</v>
      </c>
      <c r="O579" s="49"/>
      <c r="P579" s="49"/>
      <c r="Q579" s="49"/>
      <c r="R579" s="72"/>
      <c r="S579" s="49"/>
      <c r="T579" s="49"/>
      <c r="U579" s="49"/>
      <c r="V579" s="49"/>
      <c r="W579" s="49"/>
      <c r="X579" s="49"/>
      <c r="Y579" s="49"/>
      <c r="Z579" s="49"/>
      <c r="AA579" s="49"/>
      <c r="AB579" s="49"/>
      <c r="AC579" s="49">
        <f t="shared" si="130"/>
        <v>0</v>
      </c>
      <c r="AD579" s="49"/>
      <c r="AE579" s="49"/>
      <c r="AF579" s="49"/>
      <c r="AG579" s="49"/>
      <c r="AH579" s="49"/>
      <c r="AI579" s="49"/>
      <c r="AJ579" s="49"/>
      <c r="AK579" s="49"/>
      <c r="AL579" s="49"/>
      <c r="AM579" s="49"/>
      <c r="AN579" s="49"/>
      <c r="AO579" s="49"/>
      <c r="AP579" s="42"/>
      <c r="AQ579" s="49"/>
      <c r="AR579" s="49"/>
      <c r="AS579" s="49"/>
      <c r="AT579" s="49"/>
      <c r="AU579" s="49"/>
      <c r="AV579" s="49"/>
      <c r="AW579" s="49"/>
      <c r="AX579" s="49"/>
      <c r="AY579" s="49"/>
      <c r="AZ579" s="73">
        <f t="shared" si="128"/>
        <v>0</v>
      </c>
    </row>
    <row r="580" spans="1:54" ht="20.100000000000001" customHeight="1">
      <c r="A580" s="68"/>
      <c r="B580" s="69"/>
      <c r="C580" s="240" t="s">
        <v>788</v>
      </c>
      <c r="D580" s="240"/>
      <c r="E580" s="241"/>
      <c r="F580" s="70"/>
      <c r="G580" s="71"/>
      <c r="H580" s="71"/>
      <c r="I580" s="240" t="s">
        <v>177</v>
      </c>
      <c r="J580" s="240"/>
      <c r="K580" s="241"/>
      <c r="L580" s="49"/>
      <c r="M580" s="49"/>
      <c r="N580" s="49"/>
      <c r="O580" s="49"/>
      <c r="P580" s="49"/>
      <c r="Q580" s="49"/>
      <c r="R580" s="72"/>
      <c r="S580" s="49"/>
      <c r="T580" s="49"/>
      <c r="U580" s="49"/>
      <c r="V580" s="49"/>
      <c r="W580" s="49"/>
      <c r="X580" s="49"/>
      <c r="Y580" s="49"/>
      <c r="Z580" s="49"/>
      <c r="AA580" s="49"/>
      <c r="AB580" s="49"/>
      <c r="AC580" s="49">
        <f t="shared" si="130"/>
        <v>0</v>
      </c>
      <c r="AD580" s="49"/>
      <c r="AE580" s="49"/>
      <c r="AF580" s="49"/>
      <c r="AG580" s="49"/>
      <c r="AH580" s="49"/>
      <c r="AI580" s="49"/>
      <c r="AJ580" s="49"/>
      <c r="AK580" s="49"/>
      <c r="AL580" s="49"/>
      <c r="AM580" s="49"/>
      <c r="AN580" s="49"/>
      <c r="AO580" s="49"/>
      <c r="AP580" s="42"/>
      <c r="AQ580" s="49"/>
      <c r="AR580" s="49"/>
      <c r="AS580" s="49"/>
      <c r="AT580" s="49"/>
      <c r="AU580" s="49"/>
      <c r="AV580" s="49"/>
      <c r="AW580" s="49"/>
      <c r="AX580" s="49"/>
      <c r="AY580" s="49"/>
      <c r="AZ580" s="73">
        <f t="shared" si="128"/>
        <v>0</v>
      </c>
    </row>
    <row r="581" spans="1:54" ht="20.100000000000001" customHeight="1">
      <c r="A581" s="68"/>
      <c r="B581" s="69"/>
      <c r="C581" s="240" t="s">
        <v>789</v>
      </c>
      <c r="D581" s="240"/>
      <c r="E581" s="241"/>
      <c r="F581" s="70"/>
      <c r="G581" s="71"/>
      <c r="H581" s="71"/>
      <c r="I581" s="71"/>
      <c r="J581" s="240" t="s">
        <v>283</v>
      </c>
      <c r="K581" s="241"/>
      <c r="L581" s="49">
        <v>55000000</v>
      </c>
      <c r="M581" s="49">
        <v>5500000</v>
      </c>
      <c r="N581" s="49">
        <v>5250000</v>
      </c>
      <c r="O581" s="49"/>
      <c r="P581" s="49"/>
      <c r="Q581" s="49">
        <f>SUM(N581:P581)</f>
        <v>5250000</v>
      </c>
      <c r="R581" s="72">
        <f>Q581/M581*100</f>
        <v>95.454545454545453</v>
      </c>
      <c r="S581" s="49">
        <f>M581-Q581</f>
        <v>250000</v>
      </c>
      <c r="T581" s="49">
        <v>16500000</v>
      </c>
      <c r="U581" s="49">
        <f>T581+M581</f>
        <v>22000000</v>
      </c>
      <c r="V581" s="49">
        <f>T581+S581</f>
        <v>16750000</v>
      </c>
      <c r="W581" s="49">
        <v>10750000</v>
      </c>
      <c r="X581" s="49"/>
      <c r="Y581" s="49"/>
      <c r="Z581" s="49"/>
      <c r="AA581" s="49">
        <v>16500000</v>
      </c>
      <c r="AB581" s="49">
        <v>55000000</v>
      </c>
      <c r="AC581" s="49">
        <f t="shared" si="130"/>
        <v>0</v>
      </c>
      <c r="AD581" s="49">
        <f>AA581+T581+M581</f>
        <v>38500000</v>
      </c>
      <c r="AE581" s="49"/>
      <c r="AF581" s="49"/>
      <c r="AG581" s="49">
        <v>10500000</v>
      </c>
      <c r="AH581" s="49"/>
      <c r="AI581" s="49"/>
      <c r="AJ581" s="49"/>
      <c r="AK581" s="49">
        <f>Z581+Y581+X581+W581+N581+AG581+AE581+AJ581+AI581+AH581</f>
        <v>26500000</v>
      </c>
      <c r="AL581" s="49">
        <f>AK581/AD581*100</f>
        <v>68.831168831168839</v>
      </c>
      <c r="AM581" s="49"/>
      <c r="AN581" s="49"/>
      <c r="AO581" s="49"/>
      <c r="AP581" s="42">
        <v>28500000</v>
      </c>
      <c r="AQ581" s="49">
        <f>AK581+AM581+AN581+AO581+AP581</f>
        <v>55000000</v>
      </c>
      <c r="AR581" s="49">
        <f>AQ581/AB581*100</f>
        <v>100</v>
      </c>
      <c r="AS581" s="49">
        <f t="shared" si="125"/>
        <v>0</v>
      </c>
      <c r="AT581" s="49">
        <v>3091500</v>
      </c>
      <c r="AU581" s="49">
        <f>AT581+U581</f>
        <v>25091500</v>
      </c>
      <c r="AV581" s="49">
        <f>AK581</f>
        <v>26500000</v>
      </c>
      <c r="AW581" s="72">
        <f>AV581/AU581*100</f>
        <v>105.61345475559452</v>
      </c>
      <c r="AX581" s="49">
        <f>AU581-AV581</f>
        <v>-1408500</v>
      </c>
      <c r="AY581" s="49">
        <f t="shared" si="126"/>
        <v>0</v>
      </c>
      <c r="AZ581" s="73">
        <f t="shared" si="128"/>
        <v>55000000</v>
      </c>
    </row>
    <row r="582" spans="1:54" ht="20.100000000000001" customHeight="1">
      <c r="A582" s="68"/>
      <c r="B582" s="69"/>
      <c r="C582" s="240" t="s">
        <v>790</v>
      </c>
      <c r="D582" s="240"/>
      <c r="E582" s="241"/>
      <c r="F582" s="70"/>
      <c r="G582" s="71"/>
      <c r="H582" s="71"/>
      <c r="I582" s="71"/>
      <c r="J582" s="240" t="s">
        <v>384</v>
      </c>
      <c r="K582" s="241"/>
      <c r="L582" s="49">
        <v>2090000</v>
      </c>
      <c r="M582" s="49">
        <v>0</v>
      </c>
      <c r="N582" s="49"/>
      <c r="O582" s="49"/>
      <c r="P582" s="49"/>
      <c r="Q582" s="49">
        <f>SUM(N582:P582)</f>
        <v>0</v>
      </c>
      <c r="R582" s="72"/>
      <c r="S582" s="49">
        <f>M582-Q582</f>
        <v>0</v>
      </c>
      <c r="T582" s="49">
        <v>0</v>
      </c>
      <c r="U582" s="49">
        <f>T582+M582</f>
        <v>0</v>
      </c>
      <c r="V582" s="49">
        <f>T582+S582</f>
        <v>0</v>
      </c>
      <c r="W582" s="49"/>
      <c r="X582" s="49"/>
      <c r="Y582" s="49"/>
      <c r="Z582" s="49"/>
      <c r="AA582" s="49">
        <v>2090000</v>
      </c>
      <c r="AB582" s="49">
        <v>2090000</v>
      </c>
      <c r="AC582" s="49">
        <f t="shared" si="130"/>
        <v>0</v>
      </c>
      <c r="AD582" s="49">
        <f>AA582+T582+M582</f>
        <v>2090000</v>
      </c>
      <c r="AE582" s="49"/>
      <c r="AF582" s="49"/>
      <c r="AG582" s="49"/>
      <c r="AH582" s="49"/>
      <c r="AI582" s="49"/>
      <c r="AJ582" s="49"/>
      <c r="AK582" s="49">
        <f>Z582+Y582+X582+W582+N582+AG582+AE582+AJ582+AI582+AH582</f>
        <v>0</v>
      </c>
      <c r="AL582" s="49">
        <f>AK582/AD582*100</f>
        <v>0</v>
      </c>
      <c r="AM582" s="49"/>
      <c r="AN582" s="49"/>
      <c r="AO582" s="49"/>
      <c r="AP582" s="42">
        <v>2090000</v>
      </c>
      <c r="AQ582" s="49">
        <f>AK582+AM582+AN582+AO582+AP582</f>
        <v>2090000</v>
      </c>
      <c r="AR582" s="49">
        <f>AQ582/AB582*100</f>
        <v>100</v>
      </c>
      <c r="AS582" s="49">
        <f t="shared" si="125"/>
        <v>0</v>
      </c>
      <c r="AT582" s="49">
        <v>3091500</v>
      </c>
      <c r="AU582" s="49">
        <f>AT582+U582</f>
        <v>3091500</v>
      </c>
      <c r="AV582" s="49">
        <f>AK582</f>
        <v>0</v>
      </c>
      <c r="AW582" s="72">
        <f>AV582/AU582*100</f>
        <v>0</v>
      </c>
      <c r="AX582" s="49">
        <f>AU582-AV582</f>
        <v>3091500</v>
      </c>
      <c r="AY582" s="49">
        <f t="shared" si="126"/>
        <v>0</v>
      </c>
      <c r="AZ582" s="73">
        <f t="shared" si="128"/>
        <v>2090000</v>
      </c>
    </row>
    <row r="583" spans="1:54" ht="20.100000000000001" customHeight="1">
      <c r="A583" s="68"/>
      <c r="B583" s="69"/>
      <c r="C583" s="240" t="s">
        <v>791</v>
      </c>
      <c r="D583" s="240"/>
      <c r="E583" s="241"/>
      <c r="F583" s="70"/>
      <c r="G583" s="71"/>
      <c r="H583" s="240" t="s">
        <v>143</v>
      </c>
      <c r="I583" s="240"/>
      <c r="J583" s="240"/>
      <c r="K583" s="241"/>
      <c r="L583" s="49"/>
      <c r="M583" s="49"/>
      <c r="N583" s="49"/>
      <c r="O583" s="49"/>
      <c r="P583" s="49"/>
      <c r="Q583" s="49"/>
      <c r="R583" s="72"/>
      <c r="S583" s="49"/>
      <c r="T583" s="49"/>
      <c r="U583" s="49"/>
      <c r="V583" s="49"/>
      <c r="W583" s="49"/>
      <c r="X583" s="49"/>
      <c r="Y583" s="49"/>
      <c r="Z583" s="49"/>
      <c r="AA583" s="49"/>
      <c r="AB583" s="49"/>
      <c r="AC583" s="49">
        <f t="shared" si="130"/>
        <v>0</v>
      </c>
      <c r="AD583" s="49"/>
      <c r="AE583" s="49"/>
      <c r="AF583" s="49"/>
      <c r="AG583" s="49"/>
      <c r="AH583" s="49"/>
      <c r="AI583" s="49"/>
      <c r="AJ583" s="49"/>
      <c r="AK583" s="49"/>
      <c r="AL583" s="49"/>
      <c r="AM583" s="49"/>
      <c r="AN583" s="49"/>
      <c r="AO583" s="49"/>
      <c r="AP583" s="42"/>
      <c r="AQ583" s="49"/>
      <c r="AR583" s="49"/>
      <c r="AS583" s="49"/>
      <c r="AT583" s="49"/>
      <c r="AU583" s="49"/>
      <c r="AV583" s="49"/>
      <c r="AW583" s="49"/>
      <c r="AX583" s="49"/>
      <c r="AY583" s="49"/>
      <c r="AZ583" s="73">
        <f t="shared" si="128"/>
        <v>0</v>
      </c>
    </row>
    <row r="584" spans="1:54" ht="20.100000000000001" customHeight="1">
      <c r="A584" s="68"/>
      <c r="B584" s="69"/>
      <c r="C584" s="240" t="s">
        <v>792</v>
      </c>
      <c r="D584" s="240"/>
      <c r="E584" s="241"/>
      <c r="F584" s="70"/>
      <c r="G584" s="71"/>
      <c r="H584" s="71"/>
      <c r="I584" s="240" t="s">
        <v>145</v>
      </c>
      <c r="J584" s="240"/>
      <c r="K584" s="241"/>
      <c r="L584" s="49"/>
      <c r="M584" s="49"/>
      <c r="N584" s="49"/>
      <c r="O584" s="49"/>
      <c r="P584" s="49"/>
      <c r="Q584" s="49"/>
      <c r="R584" s="72"/>
      <c r="S584" s="49"/>
      <c r="T584" s="49">
        <v>0</v>
      </c>
      <c r="U584" s="49">
        <f>T584+M584</f>
        <v>0</v>
      </c>
      <c r="V584" s="49">
        <f>T584+S584</f>
        <v>0</v>
      </c>
      <c r="W584" s="49"/>
      <c r="X584" s="49"/>
      <c r="Y584" s="49"/>
      <c r="Z584" s="49"/>
      <c r="AA584" s="49">
        <v>0</v>
      </c>
      <c r="AB584" s="49"/>
      <c r="AC584" s="49">
        <f t="shared" si="130"/>
        <v>0</v>
      </c>
      <c r="AD584" s="49"/>
      <c r="AE584" s="49"/>
      <c r="AF584" s="49"/>
      <c r="AG584" s="49"/>
      <c r="AH584" s="49"/>
      <c r="AI584" s="49"/>
      <c r="AJ584" s="49"/>
      <c r="AK584" s="49"/>
      <c r="AL584" s="49"/>
      <c r="AM584" s="49"/>
      <c r="AN584" s="49"/>
      <c r="AO584" s="49"/>
      <c r="AP584" s="42"/>
      <c r="AQ584" s="49"/>
      <c r="AR584" s="49"/>
      <c r="AS584" s="49"/>
      <c r="AT584" s="49"/>
      <c r="AU584" s="49"/>
      <c r="AV584" s="49"/>
      <c r="AW584" s="49"/>
      <c r="AX584" s="49"/>
      <c r="AY584" s="49"/>
      <c r="AZ584" s="73">
        <f t="shared" si="128"/>
        <v>0</v>
      </c>
    </row>
    <row r="585" spans="1:54" ht="20.100000000000001" customHeight="1">
      <c r="A585" s="68"/>
      <c r="B585" s="69"/>
      <c r="C585" s="240" t="s">
        <v>793</v>
      </c>
      <c r="D585" s="240"/>
      <c r="E585" s="241"/>
      <c r="F585" s="70"/>
      <c r="G585" s="71"/>
      <c r="H585" s="71"/>
      <c r="I585" s="71"/>
      <c r="J585" s="240" t="s">
        <v>147</v>
      </c>
      <c r="K585" s="241"/>
      <c r="L585" s="49">
        <v>1155000</v>
      </c>
      <c r="M585" s="49">
        <v>1155000</v>
      </c>
      <c r="N585" s="49">
        <v>1154800</v>
      </c>
      <c r="O585" s="49"/>
      <c r="P585" s="49"/>
      <c r="Q585" s="49">
        <f>SUM(N585:P585)</f>
        <v>1154800</v>
      </c>
      <c r="R585" s="72">
        <f>Q585/M585*100</f>
        <v>99.98268398268398</v>
      </c>
      <c r="S585" s="49">
        <f>M585-Q585</f>
        <v>200</v>
      </c>
      <c r="T585" s="49">
        <v>0</v>
      </c>
      <c r="U585" s="49">
        <f>T585+M585</f>
        <v>1155000</v>
      </c>
      <c r="V585" s="49">
        <f>T585+S585</f>
        <v>200</v>
      </c>
      <c r="W585" s="49"/>
      <c r="X585" s="49"/>
      <c r="Y585" s="49"/>
      <c r="Z585" s="49"/>
      <c r="AA585" s="49">
        <v>0</v>
      </c>
      <c r="AB585" s="49">
        <v>1155000</v>
      </c>
      <c r="AC585" s="49">
        <f t="shared" si="130"/>
        <v>0</v>
      </c>
      <c r="AD585" s="49">
        <f>AA585+T585+M585</f>
        <v>1155000</v>
      </c>
      <c r="AE585" s="49"/>
      <c r="AF585" s="49"/>
      <c r="AG585" s="49"/>
      <c r="AH585" s="49"/>
      <c r="AI585" s="49"/>
      <c r="AJ585" s="49"/>
      <c r="AK585" s="49">
        <f>Z585+Y585+X585+W585+N585+AG585+AE585+AJ585+AI585+AH585</f>
        <v>1154800</v>
      </c>
      <c r="AL585" s="49">
        <f>AK585/AD585*100</f>
        <v>99.98268398268398</v>
      </c>
      <c r="AM585" s="49"/>
      <c r="AN585" s="49"/>
      <c r="AO585" s="49"/>
      <c r="AP585" s="42"/>
      <c r="AQ585" s="49">
        <f>AK585+AM585+AN585+AO585+AP585</f>
        <v>1154800</v>
      </c>
      <c r="AR585" s="49">
        <f>AQ585/AB585*100</f>
        <v>99.98268398268398</v>
      </c>
      <c r="AS585" s="49">
        <f t="shared" si="125"/>
        <v>200</v>
      </c>
      <c r="AT585" s="49">
        <v>3091500</v>
      </c>
      <c r="AU585" s="49">
        <f>AT585+U585</f>
        <v>4246500</v>
      </c>
      <c r="AV585" s="49">
        <f>AK585</f>
        <v>1154800</v>
      </c>
      <c r="AW585" s="72">
        <f>AV585/AU585*100</f>
        <v>27.194159896385255</v>
      </c>
      <c r="AX585" s="49">
        <f>AU585-AV585</f>
        <v>3091700</v>
      </c>
      <c r="AY585" s="49">
        <f t="shared" si="126"/>
        <v>1.7316017316017316E-2</v>
      </c>
      <c r="AZ585" s="73">
        <f t="shared" si="128"/>
        <v>1154800</v>
      </c>
    </row>
    <row r="586" spans="1:54" ht="20.100000000000001" customHeight="1">
      <c r="A586" s="68"/>
      <c r="B586" s="69"/>
      <c r="C586" s="240" t="s">
        <v>794</v>
      </c>
      <c r="D586" s="240"/>
      <c r="E586" s="241"/>
      <c r="F586" s="70"/>
      <c r="G586" s="71"/>
      <c r="H586" s="71"/>
      <c r="I586" s="240" t="s">
        <v>163</v>
      </c>
      <c r="J586" s="240"/>
      <c r="K586" s="241"/>
      <c r="L586" s="49"/>
      <c r="M586" s="49"/>
      <c r="N586" s="49"/>
      <c r="O586" s="49"/>
      <c r="P586" s="49"/>
      <c r="Q586" s="49"/>
      <c r="R586" s="72"/>
      <c r="S586" s="49"/>
      <c r="T586" s="49"/>
      <c r="U586" s="49"/>
      <c r="V586" s="49"/>
      <c r="W586" s="49"/>
      <c r="X586" s="49"/>
      <c r="Y586" s="49"/>
      <c r="Z586" s="49"/>
      <c r="AA586" s="49"/>
      <c r="AB586" s="49"/>
      <c r="AC586" s="49">
        <f t="shared" si="130"/>
        <v>0</v>
      </c>
      <c r="AD586" s="49"/>
      <c r="AE586" s="49"/>
      <c r="AF586" s="49"/>
      <c r="AG586" s="49"/>
      <c r="AH586" s="49"/>
      <c r="AI586" s="49"/>
      <c r="AJ586" s="49"/>
      <c r="AK586" s="49"/>
      <c r="AL586" s="49"/>
      <c r="AM586" s="49"/>
      <c r="AN586" s="49"/>
      <c r="AO586" s="49"/>
      <c r="AP586" s="42"/>
      <c r="AQ586" s="49"/>
      <c r="AR586" s="49"/>
      <c r="AS586" s="49"/>
      <c r="AT586" s="49"/>
      <c r="AU586" s="49"/>
      <c r="AV586" s="49"/>
      <c r="AW586" s="49"/>
      <c r="AX586" s="49"/>
      <c r="AY586" s="49"/>
      <c r="AZ586" s="73">
        <f t="shared" si="128"/>
        <v>0</v>
      </c>
    </row>
    <row r="587" spans="1:54" ht="20.100000000000001" customHeight="1">
      <c r="A587" s="68"/>
      <c r="B587" s="69"/>
      <c r="C587" s="240" t="s">
        <v>795</v>
      </c>
      <c r="D587" s="240"/>
      <c r="E587" s="241"/>
      <c r="F587" s="70"/>
      <c r="G587" s="71"/>
      <c r="H587" s="71"/>
      <c r="I587" s="71"/>
      <c r="J587" s="240" t="s">
        <v>349</v>
      </c>
      <c r="K587" s="241"/>
      <c r="L587" s="49">
        <v>3625000</v>
      </c>
      <c r="M587" s="49">
        <v>625000</v>
      </c>
      <c r="N587" s="49">
        <v>625000</v>
      </c>
      <c r="O587" s="49"/>
      <c r="P587" s="49"/>
      <c r="Q587" s="49">
        <f>SUM(N587:P587)</f>
        <v>625000</v>
      </c>
      <c r="R587" s="72">
        <f>Q587/M587*100</f>
        <v>100</v>
      </c>
      <c r="S587" s="49">
        <f>M587-Q587</f>
        <v>0</v>
      </c>
      <c r="T587" s="49">
        <v>1000000</v>
      </c>
      <c r="U587" s="49">
        <f>T587+M587</f>
        <v>1625000</v>
      </c>
      <c r="V587" s="49">
        <f>T587+S587</f>
        <v>1000000</v>
      </c>
      <c r="W587" s="49">
        <v>1000000</v>
      </c>
      <c r="X587" s="49"/>
      <c r="Y587" s="49"/>
      <c r="Z587" s="49"/>
      <c r="AA587" s="49">
        <v>2000000</v>
      </c>
      <c r="AB587" s="49">
        <v>3625000</v>
      </c>
      <c r="AC587" s="49">
        <f t="shared" si="130"/>
        <v>0</v>
      </c>
      <c r="AD587" s="49">
        <f>AA587+T587+M587</f>
        <v>3625000</v>
      </c>
      <c r="AE587" s="49"/>
      <c r="AF587" s="49"/>
      <c r="AG587" s="49">
        <v>0</v>
      </c>
      <c r="AH587" s="49"/>
      <c r="AI587" s="49"/>
      <c r="AJ587" s="49"/>
      <c r="AK587" s="49">
        <f>Z587+Y587+X587+W587+N587+AG587+AE587+AJ587+AI587+AH587</f>
        <v>1625000</v>
      </c>
      <c r="AL587" s="49">
        <f>AK587/AD587*100</f>
        <v>44.827586206896555</v>
      </c>
      <c r="AM587" s="49"/>
      <c r="AN587" s="49"/>
      <c r="AO587" s="49"/>
      <c r="AP587" s="42">
        <v>2000000</v>
      </c>
      <c r="AQ587" s="49">
        <f>AK587+AM587+AN587+AO587+AP587</f>
        <v>3625000</v>
      </c>
      <c r="AR587" s="49">
        <f>AQ587/AB587*100</f>
        <v>100</v>
      </c>
      <c r="AS587" s="49">
        <f t="shared" si="125"/>
        <v>0</v>
      </c>
      <c r="AT587" s="49">
        <v>3091500</v>
      </c>
      <c r="AU587" s="49">
        <f>AT587+U587</f>
        <v>4716500</v>
      </c>
      <c r="AV587" s="49">
        <f>AK587</f>
        <v>1625000</v>
      </c>
      <c r="AW587" s="72">
        <f>AV587/AU587*100</f>
        <v>34.453514258454362</v>
      </c>
      <c r="AX587" s="49">
        <f>AU587-AV587</f>
        <v>3091500</v>
      </c>
      <c r="AY587" s="49">
        <f t="shared" si="126"/>
        <v>0</v>
      </c>
      <c r="AZ587" s="73">
        <f t="shared" si="128"/>
        <v>3625000</v>
      </c>
    </row>
    <row r="588" spans="1:54" ht="20.100000000000001" customHeight="1">
      <c r="A588" s="68"/>
      <c r="B588" s="69"/>
      <c r="C588" s="240" t="s">
        <v>796</v>
      </c>
      <c r="D588" s="240"/>
      <c r="E588" s="241"/>
      <c r="F588" s="70"/>
      <c r="G588" s="71"/>
      <c r="H588" s="71"/>
      <c r="I588" s="71"/>
      <c r="J588" s="240" t="s">
        <v>615</v>
      </c>
      <c r="K588" s="241"/>
      <c r="L588" s="49">
        <v>40000000</v>
      </c>
      <c r="M588" s="49">
        <v>0</v>
      </c>
      <c r="N588" s="49"/>
      <c r="O588" s="49"/>
      <c r="P588" s="49"/>
      <c r="Q588" s="49">
        <f>SUM(N588:P588)</f>
        <v>0</v>
      </c>
      <c r="R588" s="72"/>
      <c r="S588" s="49">
        <f>M588-Q588</f>
        <v>0</v>
      </c>
      <c r="T588" s="49">
        <v>0</v>
      </c>
      <c r="U588" s="49">
        <f>T588+M588</f>
        <v>0</v>
      </c>
      <c r="V588" s="49">
        <f>T588+S588</f>
        <v>0</v>
      </c>
      <c r="W588" s="49"/>
      <c r="X588" s="49"/>
      <c r="Y588" s="49"/>
      <c r="Z588" s="49"/>
      <c r="AA588" s="49">
        <v>0</v>
      </c>
      <c r="AB588" s="49">
        <v>40000000</v>
      </c>
      <c r="AC588" s="49">
        <f t="shared" si="130"/>
        <v>0</v>
      </c>
      <c r="AD588" s="49">
        <f>AA588+T588+M588</f>
        <v>0</v>
      </c>
      <c r="AE588" s="49"/>
      <c r="AF588" s="49"/>
      <c r="AG588" s="49"/>
      <c r="AH588" s="49"/>
      <c r="AI588" s="49"/>
      <c r="AJ588" s="49"/>
      <c r="AK588" s="49">
        <f>Z588+Y588+X588+W588+N588+AG588+AE588+AJ588+AI588+AH588</f>
        <v>0</v>
      </c>
      <c r="AL588" s="49" t="e">
        <f>AK588/AD588*100</f>
        <v>#DIV/0!</v>
      </c>
      <c r="AM588" s="42">
        <v>39875000</v>
      </c>
      <c r="AN588" s="49"/>
      <c r="AO588" s="49"/>
      <c r="AP588" s="42"/>
      <c r="AQ588" s="49">
        <f>AK588+AM588+AN588+AO588+AP588</f>
        <v>39875000</v>
      </c>
      <c r="AR588" s="49">
        <f>AQ588/AB588*100</f>
        <v>99.6875</v>
      </c>
      <c r="AS588" s="49">
        <f t="shared" si="125"/>
        <v>125000</v>
      </c>
      <c r="AT588" s="49">
        <v>3091500</v>
      </c>
      <c r="AU588" s="49">
        <f>AT588+U588</f>
        <v>3091500</v>
      </c>
      <c r="AV588" s="49">
        <f>AK588</f>
        <v>0</v>
      </c>
      <c r="AW588" s="72">
        <f>AV588/AU588*100</f>
        <v>0</v>
      </c>
      <c r="AX588" s="49">
        <f>AU588-AV588</f>
        <v>3091500</v>
      </c>
      <c r="AY588" s="49">
        <f t="shared" si="126"/>
        <v>0.3125</v>
      </c>
      <c r="AZ588" s="73">
        <f t="shared" si="128"/>
        <v>39875000</v>
      </c>
      <c r="BA588" s="29">
        <f>AS588</f>
        <v>125000</v>
      </c>
    </row>
    <row r="589" spans="1:54" ht="20.100000000000001" customHeight="1">
      <c r="A589" s="68"/>
      <c r="B589" s="69"/>
      <c r="C589" s="240" t="s">
        <v>797</v>
      </c>
      <c r="D589" s="240"/>
      <c r="E589" s="241"/>
      <c r="F589" s="70"/>
      <c r="G589" s="71"/>
      <c r="H589" s="71"/>
      <c r="I589" s="71"/>
      <c r="J589" s="240" t="s">
        <v>352</v>
      </c>
      <c r="K589" s="241"/>
      <c r="L589" s="49">
        <v>24000000</v>
      </c>
      <c r="M589" s="49">
        <v>4000000</v>
      </c>
      <c r="N589" s="49">
        <v>4000000</v>
      </c>
      <c r="O589" s="49"/>
      <c r="P589" s="49"/>
      <c r="Q589" s="49">
        <f>SUM(N589:P589)</f>
        <v>4000000</v>
      </c>
      <c r="R589" s="72">
        <f>Q589/M589*100</f>
        <v>100</v>
      </c>
      <c r="S589" s="49">
        <f>M589-Q589</f>
        <v>0</v>
      </c>
      <c r="T589" s="49">
        <v>4000000</v>
      </c>
      <c r="U589" s="49">
        <f>T589+M589</f>
        <v>8000000</v>
      </c>
      <c r="V589" s="49">
        <f>T589+S589</f>
        <v>4000000</v>
      </c>
      <c r="W589" s="49">
        <v>4000000</v>
      </c>
      <c r="X589" s="49"/>
      <c r="Y589" s="49"/>
      <c r="Z589" s="49"/>
      <c r="AA589" s="49">
        <v>8000000</v>
      </c>
      <c r="AB589" s="49">
        <v>24000000</v>
      </c>
      <c r="AC589" s="49">
        <f t="shared" si="130"/>
        <v>0</v>
      </c>
      <c r="AD589" s="49">
        <f>AA589+T589+M589</f>
        <v>16000000</v>
      </c>
      <c r="AE589" s="49"/>
      <c r="AF589" s="49"/>
      <c r="AG589" s="49">
        <v>4000000</v>
      </c>
      <c r="AH589" s="49"/>
      <c r="AI589" s="49"/>
      <c r="AJ589" s="49"/>
      <c r="AK589" s="49">
        <f>Z589+Y589+X589+W589+N589+AG589+AE589+AJ589+AI589+AH589</f>
        <v>12000000</v>
      </c>
      <c r="AL589" s="49">
        <f>AK589/AD589*100</f>
        <v>75</v>
      </c>
      <c r="AM589" s="49"/>
      <c r="AN589" s="49"/>
      <c r="AO589" s="49"/>
      <c r="AP589" s="42">
        <v>12000000</v>
      </c>
      <c r="AQ589" s="49">
        <f>AK589+AM589+AN589+AO589+AP589</f>
        <v>24000000</v>
      </c>
      <c r="AR589" s="49">
        <f>AQ589/AB589*100</f>
        <v>100</v>
      </c>
      <c r="AS589" s="49">
        <f t="shared" si="125"/>
        <v>0</v>
      </c>
      <c r="AT589" s="49">
        <v>3091500</v>
      </c>
      <c r="AU589" s="49">
        <f>AT589+U589</f>
        <v>11091500</v>
      </c>
      <c r="AV589" s="49">
        <f>AK589</f>
        <v>12000000</v>
      </c>
      <c r="AW589" s="72">
        <f>AV589/AU589*100</f>
        <v>108.19095703917414</v>
      </c>
      <c r="AX589" s="49">
        <f>AU589-AV589</f>
        <v>-908500</v>
      </c>
      <c r="AY589" s="49">
        <f t="shared" si="126"/>
        <v>0</v>
      </c>
      <c r="AZ589" s="73">
        <f t="shared" si="128"/>
        <v>24000000</v>
      </c>
    </row>
    <row r="590" spans="1:54" ht="20.100000000000001" customHeight="1">
      <c r="A590" s="68"/>
      <c r="B590" s="69"/>
      <c r="C590" s="240" t="s">
        <v>798</v>
      </c>
      <c r="D590" s="240"/>
      <c r="E590" s="241"/>
      <c r="F590" s="70"/>
      <c r="G590" s="71"/>
      <c r="H590" s="71"/>
      <c r="I590" s="240" t="s">
        <v>151</v>
      </c>
      <c r="J590" s="240"/>
      <c r="K590" s="241"/>
      <c r="L590" s="49"/>
      <c r="M590" s="49"/>
      <c r="N590" s="49"/>
      <c r="O590" s="49"/>
      <c r="P590" s="49"/>
      <c r="Q590" s="49"/>
      <c r="R590" s="72"/>
      <c r="S590" s="49"/>
      <c r="T590" s="49"/>
      <c r="U590" s="49"/>
      <c r="V590" s="49"/>
      <c r="W590" s="49"/>
      <c r="X590" s="49"/>
      <c r="Y590" s="49"/>
      <c r="Z590" s="49"/>
      <c r="AA590" s="49"/>
      <c r="AB590" s="49"/>
      <c r="AC590" s="49">
        <f t="shared" si="130"/>
        <v>0</v>
      </c>
      <c r="AD590" s="49"/>
      <c r="AE590" s="49"/>
      <c r="AF590" s="49"/>
      <c r="AG590" s="49"/>
      <c r="AH590" s="49"/>
      <c r="AI590" s="49"/>
      <c r="AJ590" s="49"/>
      <c r="AK590" s="49"/>
      <c r="AL590" s="49"/>
      <c r="AM590" s="49"/>
      <c r="AN590" s="49"/>
      <c r="AO590" s="49"/>
      <c r="AP590" s="42"/>
      <c r="AQ590" s="49"/>
      <c r="AR590" s="49"/>
      <c r="AS590" s="49"/>
      <c r="AT590" s="49"/>
      <c r="AU590" s="49"/>
      <c r="AV590" s="49"/>
      <c r="AW590" s="49"/>
      <c r="AX590" s="49"/>
      <c r="AY590" s="49"/>
      <c r="AZ590" s="73">
        <f t="shared" si="128"/>
        <v>0</v>
      </c>
    </row>
    <row r="591" spans="1:54" ht="20.100000000000001" customHeight="1">
      <c r="A591" s="68"/>
      <c r="B591" s="69"/>
      <c r="C591" s="240" t="s">
        <v>799</v>
      </c>
      <c r="D591" s="240"/>
      <c r="E591" s="241"/>
      <c r="F591" s="70"/>
      <c r="G591" s="71"/>
      <c r="H591" s="71"/>
      <c r="I591" s="71"/>
      <c r="J591" s="240" t="s">
        <v>153</v>
      </c>
      <c r="K591" s="241"/>
      <c r="L591" s="49">
        <v>20000000</v>
      </c>
      <c r="M591" s="49">
        <v>0</v>
      </c>
      <c r="N591" s="49"/>
      <c r="O591" s="49"/>
      <c r="P591" s="49"/>
      <c r="Q591" s="49">
        <f>SUM(N591:P591)</f>
        <v>0</v>
      </c>
      <c r="R591" s="72"/>
      <c r="S591" s="49">
        <f>M591-Q591</f>
        <v>0</v>
      </c>
      <c r="T591" s="49">
        <v>0</v>
      </c>
      <c r="U591" s="49">
        <f>T591+M591</f>
        <v>0</v>
      </c>
      <c r="V591" s="49">
        <f>T591+S591</f>
        <v>0</v>
      </c>
      <c r="W591" s="49"/>
      <c r="X591" s="49"/>
      <c r="Y591" s="49"/>
      <c r="Z591" s="49"/>
      <c r="AA591" s="49">
        <v>20000000</v>
      </c>
      <c r="AB591" s="49">
        <v>20000000</v>
      </c>
      <c r="AC591" s="49">
        <f t="shared" si="130"/>
        <v>0</v>
      </c>
      <c r="AD591" s="49">
        <f>AA591+T591+M591</f>
        <v>20000000</v>
      </c>
      <c r="AE591" s="49"/>
      <c r="AF591" s="49"/>
      <c r="AG591" s="49"/>
      <c r="AH591" s="49"/>
      <c r="AI591" s="49"/>
      <c r="AJ591" s="49"/>
      <c r="AK591" s="49">
        <f>Z591+Y591+X591+W591+N591+AG591+AE591+AJ591+AI591+AH591</f>
        <v>0</v>
      </c>
      <c r="AL591" s="49">
        <f>AK591/AD591*100</f>
        <v>0</v>
      </c>
      <c r="AM591" s="49"/>
      <c r="AN591" s="49"/>
      <c r="AO591" s="49"/>
      <c r="AP591" s="42"/>
      <c r="AQ591" s="49">
        <f>AK591+AM591+AN591+AO591+AP591</f>
        <v>0</v>
      </c>
      <c r="AR591" s="49">
        <f>AQ591/AB591*100</f>
        <v>0</v>
      </c>
      <c r="AS591" s="49">
        <f t="shared" si="125"/>
        <v>20000000</v>
      </c>
      <c r="AT591" s="49">
        <v>3091500</v>
      </c>
      <c r="AU591" s="49">
        <f>AT591+U591</f>
        <v>3091500</v>
      </c>
      <c r="AV591" s="49">
        <f>AK591</f>
        <v>0</v>
      </c>
      <c r="AW591" s="72">
        <f>AV591/AU591*100</f>
        <v>0</v>
      </c>
      <c r="AX591" s="49">
        <f>AU591-AV591</f>
        <v>3091500</v>
      </c>
      <c r="AY591" s="49">
        <f t="shared" si="126"/>
        <v>100</v>
      </c>
      <c r="AZ591" s="73">
        <f t="shared" si="128"/>
        <v>0</v>
      </c>
      <c r="BB591" s="29">
        <f>AS591</f>
        <v>20000000</v>
      </c>
    </row>
    <row r="592" spans="1:54" ht="20.100000000000001" customHeight="1">
      <c r="A592" s="68"/>
      <c r="B592" s="69"/>
      <c r="C592" s="240" t="s">
        <v>800</v>
      </c>
      <c r="D592" s="240"/>
      <c r="E592" s="241"/>
      <c r="F592" s="70"/>
      <c r="G592" s="71"/>
      <c r="H592" s="71"/>
      <c r="I592" s="71"/>
      <c r="J592" s="240" t="s">
        <v>155</v>
      </c>
      <c r="K592" s="241"/>
      <c r="L592" s="49">
        <v>788000</v>
      </c>
      <c r="M592" s="49">
        <v>0</v>
      </c>
      <c r="N592" s="49"/>
      <c r="O592" s="49"/>
      <c r="P592" s="49"/>
      <c r="Q592" s="49">
        <f>SUM(N592:P592)</f>
        <v>0</v>
      </c>
      <c r="R592" s="72"/>
      <c r="S592" s="49">
        <f>M592-Q592</f>
        <v>0</v>
      </c>
      <c r="T592" s="49">
        <v>788000</v>
      </c>
      <c r="U592" s="49">
        <f>T592+M592</f>
        <v>788000</v>
      </c>
      <c r="V592" s="49">
        <f>T592+S592</f>
        <v>788000</v>
      </c>
      <c r="W592" s="49">
        <v>787850</v>
      </c>
      <c r="X592" s="49"/>
      <c r="Y592" s="49"/>
      <c r="Z592" s="49"/>
      <c r="AA592" s="49">
        <v>0</v>
      </c>
      <c r="AB592" s="49">
        <v>788000</v>
      </c>
      <c r="AC592" s="49">
        <f t="shared" si="130"/>
        <v>0</v>
      </c>
      <c r="AD592" s="49">
        <f>AA592+T592+M592</f>
        <v>788000</v>
      </c>
      <c r="AE592" s="49"/>
      <c r="AF592" s="49"/>
      <c r="AG592" s="49">
        <v>0</v>
      </c>
      <c r="AH592" s="49"/>
      <c r="AI592" s="49">
        <v>0</v>
      </c>
      <c r="AJ592" s="49">
        <v>0</v>
      </c>
      <c r="AK592" s="49">
        <f>Z592+Y592+X592+W592+N592+AG592+AE592+AJ592+AI592+AH592</f>
        <v>787850</v>
      </c>
      <c r="AL592" s="49">
        <f>AK592/AD592*100</f>
        <v>99.98096446700508</v>
      </c>
      <c r="AM592" s="49"/>
      <c r="AN592" s="49"/>
      <c r="AO592" s="49"/>
      <c r="AP592" s="42"/>
      <c r="AQ592" s="49">
        <f>AK592+AM592+AN592+AO592+AP592</f>
        <v>787850</v>
      </c>
      <c r="AR592" s="49">
        <f>AQ592/AB592*100</f>
        <v>99.98096446700508</v>
      </c>
      <c r="AS592" s="49">
        <f t="shared" si="125"/>
        <v>150</v>
      </c>
      <c r="AT592" s="49">
        <v>3091500</v>
      </c>
      <c r="AU592" s="49">
        <f>AT592+U592</f>
        <v>3879500</v>
      </c>
      <c r="AV592" s="49">
        <f>AK592</f>
        <v>787850</v>
      </c>
      <c r="AW592" s="72">
        <f>AV592/AU592*100</f>
        <v>20.308029385230057</v>
      </c>
      <c r="AX592" s="49">
        <f>AU592-AV592</f>
        <v>3091650</v>
      </c>
      <c r="AY592" s="49">
        <f t="shared" si="126"/>
        <v>1.9035532994923856E-2</v>
      </c>
      <c r="AZ592" s="73">
        <f t="shared" si="128"/>
        <v>787850</v>
      </c>
    </row>
    <row r="593" spans="1:53" ht="20.100000000000001" customHeight="1">
      <c r="A593" s="68"/>
      <c r="B593" s="69"/>
      <c r="C593" s="240" t="s">
        <v>801</v>
      </c>
      <c r="D593" s="240"/>
      <c r="E593" s="241"/>
      <c r="F593" s="70"/>
      <c r="G593" s="71"/>
      <c r="H593" s="71"/>
      <c r="I593" s="71"/>
      <c r="J593" s="240" t="s">
        <v>309</v>
      </c>
      <c r="K593" s="241"/>
      <c r="L593" s="49">
        <v>325000</v>
      </c>
      <c r="M593" s="49">
        <v>0</v>
      </c>
      <c r="N593" s="49"/>
      <c r="O593" s="49"/>
      <c r="P593" s="49"/>
      <c r="Q593" s="49">
        <f>SUM(N593:P593)</f>
        <v>0</v>
      </c>
      <c r="R593" s="72"/>
      <c r="S593" s="49">
        <f>M593-Q593</f>
        <v>0</v>
      </c>
      <c r="T593" s="49">
        <v>0</v>
      </c>
      <c r="U593" s="49">
        <f>T593+M593</f>
        <v>0</v>
      </c>
      <c r="V593" s="49">
        <f>T593+S593</f>
        <v>0</v>
      </c>
      <c r="W593" s="49"/>
      <c r="X593" s="49"/>
      <c r="Y593" s="49"/>
      <c r="Z593" s="49"/>
      <c r="AA593" s="49">
        <v>325000</v>
      </c>
      <c r="AB593" s="49">
        <v>325000</v>
      </c>
      <c r="AC593" s="49">
        <f t="shared" si="130"/>
        <v>0</v>
      </c>
      <c r="AD593" s="49">
        <f>AA593+T593+M593</f>
        <v>325000</v>
      </c>
      <c r="AE593" s="49"/>
      <c r="AF593" s="49"/>
      <c r="AG593" s="49"/>
      <c r="AH593" s="49"/>
      <c r="AI593" s="49"/>
      <c r="AJ593" s="49"/>
      <c r="AK593" s="49">
        <f>Z593+Y593+X593+W593+N593+AG593+AE593+AJ593+AI593+AH593</f>
        <v>0</v>
      </c>
      <c r="AL593" s="49">
        <f>AK593/AD593*100</f>
        <v>0</v>
      </c>
      <c r="AM593" s="49"/>
      <c r="AN593" s="49"/>
      <c r="AO593" s="49"/>
      <c r="AP593" s="42">
        <v>325000</v>
      </c>
      <c r="AQ593" s="49">
        <f>AK593+AM593+AN593+AO593+AP593</f>
        <v>325000</v>
      </c>
      <c r="AR593" s="49">
        <f>AQ593/AB593*100</f>
        <v>100</v>
      </c>
      <c r="AS593" s="49">
        <f t="shared" si="125"/>
        <v>0</v>
      </c>
      <c r="AT593" s="49">
        <v>3091500</v>
      </c>
      <c r="AU593" s="49">
        <f>AT593+U593</f>
        <v>3091500</v>
      </c>
      <c r="AV593" s="49">
        <f>AK593</f>
        <v>0</v>
      </c>
      <c r="AW593" s="72">
        <f>AV593/AU593*100</f>
        <v>0</v>
      </c>
      <c r="AX593" s="49">
        <f>AU593-AV593</f>
        <v>3091500</v>
      </c>
      <c r="AY593" s="49">
        <f t="shared" si="126"/>
        <v>0</v>
      </c>
      <c r="AZ593" s="73">
        <f t="shared" si="128"/>
        <v>325000</v>
      </c>
    </row>
    <row r="594" spans="1:53" ht="20.100000000000001" customHeight="1">
      <c r="A594" s="68"/>
      <c r="B594" s="69"/>
      <c r="C594" s="240" t="s">
        <v>802</v>
      </c>
      <c r="D594" s="240"/>
      <c r="E594" s="241"/>
      <c r="F594" s="70"/>
      <c r="G594" s="71"/>
      <c r="H594" s="71"/>
      <c r="I594" s="240" t="s">
        <v>712</v>
      </c>
      <c r="J594" s="240"/>
      <c r="K594" s="241"/>
      <c r="L594" s="49"/>
      <c r="M594" s="49"/>
      <c r="N594" s="49"/>
      <c r="O594" s="49"/>
      <c r="P594" s="49"/>
      <c r="Q594" s="49"/>
      <c r="R594" s="72"/>
      <c r="S594" s="49"/>
      <c r="T594" s="49"/>
      <c r="U594" s="49"/>
      <c r="V594" s="49"/>
      <c r="W594" s="49"/>
      <c r="X594" s="49"/>
      <c r="Y594" s="49"/>
      <c r="Z594" s="49"/>
      <c r="AA594" s="49"/>
      <c r="AB594" s="49"/>
      <c r="AC594" s="49">
        <f t="shared" si="130"/>
        <v>0</v>
      </c>
      <c r="AD594" s="49"/>
      <c r="AE594" s="49"/>
      <c r="AF594" s="49"/>
      <c r="AG594" s="49"/>
      <c r="AH594" s="49"/>
      <c r="AI594" s="49"/>
      <c r="AJ594" s="49"/>
      <c r="AK594" s="49"/>
      <c r="AL594" s="49"/>
      <c r="AM594" s="49"/>
      <c r="AN594" s="49"/>
      <c r="AO594" s="49"/>
      <c r="AP594" s="42"/>
      <c r="AQ594" s="49"/>
      <c r="AR594" s="49"/>
      <c r="AS594" s="49"/>
      <c r="AT594" s="49"/>
      <c r="AU594" s="49"/>
      <c r="AV594" s="49"/>
      <c r="AW594" s="49"/>
      <c r="AX594" s="49"/>
      <c r="AY594" s="49"/>
      <c r="AZ594" s="73">
        <f t="shared" si="128"/>
        <v>0</v>
      </c>
    </row>
    <row r="595" spans="1:53" ht="20.100000000000001" customHeight="1">
      <c r="A595" s="68"/>
      <c r="B595" s="69"/>
      <c r="C595" s="240" t="s">
        <v>803</v>
      </c>
      <c r="D595" s="240"/>
      <c r="E595" s="241"/>
      <c r="F595" s="70"/>
      <c r="G595" s="71"/>
      <c r="H595" s="71"/>
      <c r="I595" s="71"/>
      <c r="J595" s="240" t="s">
        <v>714</v>
      </c>
      <c r="K595" s="241"/>
      <c r="L595" s="49">
        <v>8500000</v>
      </c>
      <c r="M595" s="49">
        <v>0</v>
      </c>
      <c r="N595" s="49"/>
      <c r="O595" s="49"/>
      <c r="P595" s="49"/>
      <c r="Q595" s="49">
        <f>SUM(N595:P595)</f>
        <v>0</v>
      </c>
      <c r="R595" s="72"/>
      <c r="S595" s="49">
        <f>M595-Q595</f>
        <v>0</v>
      </c>
      <c r="T595" s="49">
        <v>2500000</v>
      </c>
      <c r="U595" s="49">
        <f>T595+M595</f>
        <v>2500000</v>
      </c>
      <c r="V595" s="49">
        <f>T595+S595</f>
        <v>2500000</v>
      </c>
      <c r="W595" s="49">
        <v>2450000</v>
      </c>
      <c r="X595" s="49"/>
      <c r="Y595" s="49"/>
      <c r="Z595" s="49"/>
      <c r="AA595" s="49">
        <v>6000000</v>
      </c>
      <c r="AB595" s="49">
        <v>8500000</v>
      </c>
      <c r="AC595" s="49">
        <f t="shared" si="130"/>
        <v>0</v>
      </c>
      <c r="AD595" s="49">
        <f>AA595+T595+M595</f>
        <v>8500000</v>
      </c>
      <c r="AE595" s="49"/>
      <c r="AF595" s="49"/>
      <c r="AG595" s="49">
        <v>0</v>
      </c>
      <c r="AH595" s="49"/>
      <c r="AI595" s="49">
        <v>0</v>
      </c>
      <c r="AJ595" s="49">
        <v>0</v>
      </c>
      <c r="AK595" s="49">
        <f>Z595+Y595+X595+W595+N595+AG595+AE595+AJ595+AI595+AH595</f>
        <v>2450000</v>
      </c>
      <c r="AL595" s="49">
        <f>AK595/AD595*100</f>
        <v>28.823529411764703</v>
      </c>
      <c r="AM595" s="49"/>
      <c r="AN595" s="49"/>
      <c r="AO595" s="49"/>
      <c r="AP595" s="42">
        <v>2700000</v>
      </c>
      <c r="AQ595" s="49">
        <f>AK595+AM595+AN595+AO595+AP595</f>
        <v>5150000</v>
      </c>
      <c r="AR595" s="49">
        <f>AQ595/AB595*100</f>
        <v>60.588235294117645</v>
      </c>
      <c r="AS595" s="49">
        <f t="shared" si="125"/>
        <v>3350000</v>
      </c>
      <c r="AT595" s="49">
        <v>3091500</v>
      </c>
      <c r="AU595" s="49">
        <f>AT595+U595</f>
        <v>5591500</v>
      </c>
      <c r="AV595" s="49">
        <f>AK595</f>
        <v>2450000</v>
      </c>
      <c r="AW595" s="72">
        <f>AV595/AU595*100</f>
        <v>43.81650719842618</v>
      </c>
      <c r="AX595" s="49">
        <f>AU595-AV595</f>
        <v>3141500</v>
      </c>
      <c r="AY595" s="49">
        <f t="shared" si="126"/>
        <v>39.411764705882355</v>
      </c>
      <c r="AZ595" s="73">
        <f t="shared" si="128"/>
        <v>5150000</v>
      </c>
      <c r="BA595" s="29">
        <f>AS595</f>
        <v>3350000</v>
      </c>
    </row>
    <row r="596" spans="1:53" ht="20.100000000000001" customHeight="1">
      <c r="A596" s="68"/>
      <c r="B596" s="69"/>
      <c r="C596" s="240" t="s">
        <v>804</v>
      </c>
      <c r="D596" s="240"/>
      <c r="E596" s="241"/>
      <c r="F596" s="70"/>
      <c r="G596" s="71"/>
      <c r="H596" s="71"/>
      <c r="I596" s="240" t="s">
        <v>328</v>
      </c>
      <c r="J596" s="240"/>
      <c r="K596" s="241"/>
      <c r="L596" s="49"/>
      <c r="M596" s="49"/>
      <c r="N596" s="49"/>
      <c r="O596" s="49"/>
      <c r="P596" s="49"/>
      <c r="Q596" s="49"/>
      <c r="R596" s="72"/>
      <c r="S596" s="49"/>
      <c r="T596" s="49"/>
      <c r="U596" s="49"/>
      <c r="V596" s="49"/>
      <c r="W596" s="49"/>
      <c r="X596" s="49"/>
      <c r="Y596" s="49"/>
      <c r="Z596" s="49"/>
      <c r="AA596" s="49"/>
      <c r="AB596" s="49"/>
      <c r="AC596" s="49">
        <f t="shared" si="130"/>
        <v>0</v>
      </c>
      <c r="AD596" s="49"/>
      <c r="AE596" s="49"/>
      <c r="AF596" s="49"/>
      <c r="AG596" s="49"/>
      <c r="AH596" s="49"/>
      <c r="AI596" s="49"/>
      <c r="AJ596" s="49"/>
      <c r="AK596" s="49"/>
      <c r="AL596" s="49"/>
      <c r="AM596" s="49"/>
      <c r="AN596" s="49"/>
      <c r="AO596" s="49"/>
      <c r="AP596" s="42"/>
      <c r="AQ596" s="49"/>
      <c r="AR596" s="49"/>
      <c r="AS596" s="49"/>
      <c r="AT596" s="49"/>
      <c r="AU596" s="49"/>
      <c r="AV596" s="49"/>
      <c r="AW596" s="49"/>
      <c r="AX596" s="49"/>
      <c r="AY596" s="49"/>
      <c r="AZ596" s="73">
        <f t="shared" si="128"/>
        <v>0</v>
      </c>
    </row>
    <row r="597" spans="1:53" ht="20.100000000000001" customHeight="1">
      <c r="A597" s="68"/>
      <c r="B597" s="69"/>
      <c r="C597" s="240" t="s">
        <v>805</v>
      </c>
      <c r="D597" s="240"/>
      <c r="E597" s="241"/>
      <c r="F597" s="70"/>
      <c r="G597" s="71"/>
      <c r="H597" s="71"/>
      <c r="I597" s="71"/>
      <c r="J597" s="240" t="s">
        <v>330</v>
      </c>
      <c r="K597" s="241"/>
      <c r="L597" s="49">
        <v>2000000</v>
      </c>
      <c r="M597" s="49">
        <v>0</v>
      </c>
      <c r="N597" s="49"/>
      <c r="O597" s="49"/>
      <c r="P597" s="49"/>
      <c r="Q597" s="49">
        <f>SUM(N597:P597)</f>
        <v>0</v>
      </c>
      <c r="R597" s="72"/>
      <c r="S597" s="49">
        <f>M597-Q597</f>
        <v>0</v>
      </c>
      <c r="T597" s="49">
        <v>1000000</v>
      </c>
      <c r="U597" s="49">
        <f>T597+M597</f>
        <v>1000000</v>
      </c>
      <c r="V597" s="49">
        <f>T597+S597</f>
        <v>1000000</v>
      </c>
      <c r="W597" s="49">
        <v>1000000</v>
      </c>
      <c r="X597" s="49"/>
      <c r="Y597" s="49"/>
      <c r="Z597" s="49"/>
      <c r="AA597" s="49">
        <v>1000000</v>
      </c>
      <c r="AB597" s="49">
        <v>2000000</v>
      </c>
      <c r="AC597" s="49">
        <f t="shared" si="130"/>
        <v>0</v>
      </c>
      <c r="AD597" s="49">
        <f>AA597+T597+M597</f>
        <v>2000000</v>
      </c>
      <c r="AE597" s="49"/>
      <c r="AF597" s="49"/>
      <c r="AG597" s="49">
        <v>0</v>
      </c>
      <c r="AH597" s="49"/>
      <c r="AI597" s="49">
        <v>0</v>
      </c>
      <c r="AJ597" s="49">
        <v>0</v>
      </c>
      <c r="AK597" s="49">
        <f>Z597+Y597+X597+W597+N597+AG597+AE597+AJ597+AI597+AH597</f>
        <v>1000000</v>
      </c>
      <c r="AL597" s="49">
        <f>AK597/AD597*100</f>
        <v>50</v>
      </c>
      <c r="AM597" s="49"/>
      <c r="AN597" s="49"/>
      <c r="AO597" s="49"/>
      <c r="AP597" s="42">
        <v>1000000</v>
      </c>
      <c r="AQ597" s="49">
        <f>AK597+AM597+AN597+AO597+AP597</f>
        <v>2000000</v>
      </c>
      <c r="AR597" s="49">
        <f>AQ597/AB597*100</f>
        <v>100</v>
      </c>
      <c r="AS597" s="49">
        <f t="shared" si="125"/>
        <v>0</v>
      </c>
      <c r="AT597" s="49">
        <v>3091500</v>
      </c>
      <c r="AU597" s="49">
        <f>AT597+U597</f>
        <v>4091500</v>
      </c>
      <c r="AV597" s="49">
        <f>AK597</f>
        <v>1000000</v>
      </c>
      <c r="AW597" s="72">
        <f>AV597/AU597*100</f>
        <v>24.440914090186975</v>
      </c>
      <c r="AX597" s="49">
        <f>AU597-AV597</f>
        <v>3091500</v>
      </c>
      <c r="AY597" s="49">
        <f t="shared" si="126"/>
        <v>0</v>
      </c>
      <c r="AZ597" s="73">
        <f t="shared" si="128"/>
        <v>2000000</v>
      </c>
    </row>
    <row r="598" spans="1:53" ht="20.100000000000001" customHeight="1">
      <c r="A598" s="68"/>
      <c r="B598" s="69"/>
      <c r="C598" s="240" t="s">
        <v>806</v>
      </c>
      <c r="D598" s="240"/>
      <c r="E598" s="241"/>
      <c r="F598" s="70"/>
      <c r="G598" s="71"/>
      <c r="H598" s="71"/>
      <c r="I598" s="240" t="s">
        <v>193</v>
      </c>
      <c r="J598" s="240"/>
      <c r="K598" s="241"/>
      <c r="L598" s="49"/>
      <c r="M598" s="49"/>
      <c r="N598" s="49"/>
      <c r="O598" s="49"/>
      <c r="P598" s="49"/>
      <c r="Q598" s="49"/>
      <c r="R598" s="72"/>
      <c r="S598" s="49"/>
      <c r="T598" s="49"/>
      <c r="U598" s="49"/>
      <c r="V598" s="49"/>
      <c r="W598" s="49"/>
      <c r="X598" s="49"/>
      <c r="Y598" s="49"/>
      <c r="Z598" s="49"/>
      <c r="AA598" s="49"/>
      <c r="AB598" s="49"/>
      <c r="AC598" s="49">
        <f t="shared" si="130"/>
        <v>0</v>
      </c>
      <c r="AD598" s="49"/>
      <c r="AE598" s="49"/>
      <c r="AF598" s="49"/>
      <c r="AG598" s="49"/>
      <c r="AH598" s="49"/>
      <c r="AI598" s="49"/>
      <c r="AJ598" s="49"/>
      <c r="AK598" s="49"/>
      <c r="AL598" s="49"/>
      <c r="AM598" s="49"/>
      <c r="AN598" s="49"/>
      <c r="AO598" s="49"/>
      <c r="AP598" s="42"/>
      <c r="AQ598" s="49"/>
      <c r="AR598" s="49"/>
      <c r="AS598" s="49"/>
      <c r="AT598" s="49"/>
      <c r="AU598" s="49"/>
      <c r="AV598" s="49"/>
      <c r="AW598" s="49"/>
      <c r="AX598" s="49"/>
      <c r="AY598" s="49"/>
      <c r="AZ598" s="73">
        <f t="shared" si="128"/>
        <v>0</v>
      </c>
    </row>
    <row r="599" spans="1:53" ht="20.100000000000001" customHeight="1">
      <c r="A599" s="68"/>
      <c r="B599" s="69"/>
      <c r="C599" s="240" t="s">
        <v>807</v>
      </c>
      <c r="D599" s="240"/>
      <c r="E599" s="241"/>
      <c r="F599" s="70"/>
      <c r="G599" s="71"/>
      <c r="H599" s="71"/>
      <c r="I599" s="71"/>
      <c r="J599" s="240" t="s">
        <v>195</v>
      </c>
      <c r="K599" s="241"/>
      <c r="L599" s="49">
        <v>32655000</v>
      </c>
      <c r="M599" s="49">
        <v>4900000</v>
      </c>
      <c r="N599" s="49">
        <v>4900000</v>
      </c>
      <c r="O599" s="49"/>
      <c r="P599" s="49"/>
      <c r="Q599" s="49">
        <f>SUM(N599:P599)</f>
        <v>4900000</v>
      </c>
      <c r="R599" s="72">
        <f>Q599/M599*100</f>
        <v>100</v>
      </c>
      <c r="S599" s="49">
        <f>M599-Q599</f>
        <v>0</v>
      </c>
      <c r="T599" s="49">
        <v>6580000</v>
      </c>
      <c r="U599" s="49">
        <f>T599+M599</f>
        <v>11480000</v>
      </c>
      <c r="V599" s="49">
        <f>T599+S599</f>
        <v>6580000</v>
      </c>
      <c r="W599" s="49">
        <v>6580000</v>
      </c>
      <c r="X599" s="49"/>
      <c r="Y599" s="49"/>
      <c r="Z599" s="49"/>
      <c r="AA599" s="49">
        <v>11900000</v>
      </c>
      <c r="AB599" s="49">
        <v>32655000</v>
      </c>
      <c r="AC599" s="49">
        <f t="shared" si="130"/>
        <v>0</v>
      </c>
      <c r="AD599" s="49">
        <f>AA599+T599+M599</f>
        <v>23380000</v>
      </c>
      <c r="AE599" s="49"/>
      <c r="AF599" s="49"/>
      <c r="AG599" s="49">
        <v>4375000</v>
      </c>
      <c r="AH599" s="49"/>
      <c r="AI599" s="49"/>
      <c r="AJ599" s="49"/>
      <c r="AK599" s="49">
        <f>Z599+Y599+X599+W599+N599+AG599+AE599+AJ599+AI599+AH599</f>
        <v>15855000</v>
      </c>
      <c r="AL599" s="49">
        <f>AK599/AD599*100</f>
        <v>67.814371257485035</v>
      </c>
      <c r="AM599" s="49"/>
      <c r="AN599" s="49"/>
      <c r="AO599" s="49"/>
      <c r="AP599" s="42">
        <v>16800000</v>
      </c>
      <c r="AQ599" s="49">
        <f>AK599+AM599+AN599+AO599+AP599</f>
        <v>32655000</v>
      </c>
      <c r="AR599" s="49">
        <f>AQ599/AB599*100</f>
        <v>100</v>
      </c>
      <c r="AS599" s="49">
        <f t="shared" si="125"/>
        <v>0</v>
      </c>
      <c r="AT599" s="49">
        <v>3091500</v>
      </c>
      <c r="AU599" s="49">
        <f>AT599+U599</f>
        <v>14571500</v>
      </c>
      <c r="AV599" s="49">
        <f>AK599</f>
        <v>15855000</v>
      </c>
      <c r="AW599" s="72">
        <f>AV599/AU599*100</f>
        <v>108.80829015544042</v>
      </c>
      <c r="AX599" s="49">
        <f>AU599-AV599</f>
        <v>-1283500</v>
      </c>
      <c r="AY599" s="49">
        <f t="shared" si="126"/>
        <v>0</v>
      </c>
      <c r="AZ599" s="73">
        <f t="shared" si="128"/>
        <v>32655000</v>
      </c>
    </row>
    <row r="600" spans="1:53" ht="20.100000000000001" customHeight="1">
      <c r="A600" s="68"/>
      <c r="B600" s="69"/>
      <c r="C600" s="240" t="s">
        <v>808</v>
      </c>
      <c r="D600" s="240"/>
      <c r="E600" s="241"/>
      <c r="F600" s="70"/>
      <c r="G600" s="71"/>
      <c r="H600" s="71"/>
      <c r="I600" s="240" t="s">
        <v>157</v>
      </c>
      <c r="J600" s="240"/>
      <c r="K600" s="241"/>
      <c r="L600" s="49"/>
      <c r="M600" s="49"/>
      <c r="N600" s="49"/>
      <c r="O600" s="49"/>
      <c r="P600" s="49"/>
      <c r="Q600" s="49"/>
      <c r="R600" s="72"/>
      <c r="S600" s="49"/>
      <c r="T600" s="49"/>
      <c r="U600" s="49"/>
      <c r="V600" s="49"/>
      <c r="W600" s="49"/>
      <c r="X600" s="49"/>
      <c r="Y600" s="49"/>
      <c r="Z600" s="49"/>
      <c r="AA600" s="49"/>
      <c r="AB600" s="49"/>
      <c r="AC600" s="49">
        <f t="shared" si="130"/>
        <v>0</v>
      </c>
      <c r="AD600" s="49"/>
      <c r="AE600" s="49"/>
      <c r="AF600" s="49"/>
      <c r="AG600" s="49"/>
      <c r="AH600" s="49"/>
      <c r="AI600" s="49"/>
      <c r="AJ600" s="49"/>
      <c r="AK600" s="49"/>
      <c r="AL600" s="49"/>
      <c r="AM600" s="49"/>
      <c r="AN600" s="49"/>
      <c r="AO600" s="49"/>
      <c r="AP600" s="42"/>
      <c r="AQ600" s="49"/>
      <c r="AR600" s="49"/>
      <c r="AS600" s="49"/>
      <c r="AT600" s="49"/>
      <c r="AU600" s="49"/>
      <c r="AV600" s="49"/>
      <c r="AW600" s="49"/>
      <c r="AX600" s="49"/>
      <c r="AY600" s="49"/>
      <c r="AZ600" s="73">
        <f t="shared" si="128"/>
        <v>0</v>
      </c>
    </row>
    <row r="601" spans="1:53" ht="20.100000000000001" customHeight="1">
      <c r="A601" s="68"/>
      <c r="B601" s="69"/>
      <c r="C601" s="240" t="s">
        <v>809</v>
      </c>
      <c r="D601" s="240"/>
      <c r="E601" s="241"/>
      <c r="F601" s="70"/>
      <c r="G601" s="71"/>
      <c r="H601" s="71"/>
      <c r="I601" s="71"/>
      <c r="J601" s="240" t="s">
        <v>159</v>
      </c>
      <c r="K601" s="241"/>
      <c r="L601" s="49">
        <v>8480000</v>
      </c>
      <c r="M601" s="49">
        <v>2000000</v>
      </c>
      <c r="N601" s="49"/>
      <c r="O601" s="49"/>
      <c r="P601" s="49"/>
      <c r="Q601" s="49">
        <f>SUM(N601:P601)</f>
        <v>0</v>
      </c>
      <c r="R601" s="72">
        <f>Q601/M601*100</f>
        <v>0</v>
      </c>
      <c r="S601" s="49">
        <f>M601-Q601</f>
        <v>2000000</v>
      </c>
      <c r="T601" s="49">
        <v>1500000</v>
      </c>
      <c r="U601" s="49">
        <f>T601+M601</f>
        <v>3500000</v>
      </c>
      <c r="V601" s="49">
        <f>T601+S601</f>
        <v>3500000</v>
      </c>
      <c r="W601" s="49"/>
      <c r="X601" s="49"/>
      <c r="Y601" s="49"/>
      <c r="Z601" s="49"/>
      <c r="AA601" s="49">
        <v>3480000</v>
      </c>
      <c r="AB601" s="49">
        <v>8480000</v>
      </c>
      <c r="AC601" s="49">
        <f t="shared" si="130"/>
        <v>0</v>
      </c>
      <c r="AD601" s="49">
        <f>AA601+T601+M601</f>
        <v>6980000</v>
      </c>
      <c r="AE601" s="49"/>
      <c r="AF601" s="49"/>
      <c r="AG601" s="49"/>
      <c r="AH601" s="49"/>
      <c r="AI601" s="49"/>
      <c r="AJ601" s="49">
        <v>3730000</v>
      </c>
      <c r="AK601" s="49">
        <f>Z601+Y601+X601+W601+N601+AG601+AE601+AJ601+AI601+AH601</f>
        <v>3730000</v>
      </c>
      <c r="AL601" s="49">
        <f>AK601/AD601*100</f>
        <v>53.438395415472783</v>
      </c>
      <c r="AM601" s="49"/>
      <c r="AN601" s="49"/>
      <c r="AO601" s="49"/>
      <c r="AP601" s="42">
        <v>4750000</v>
      </c>
      <c r="AQ601" s="49">
        <f>AK601+AM601+AN601+AO601+AP601</f>
        <v>8480000</v>
      </c>
      <c r="AR601" s="49">
        <f>AQ601/AB601*100</f>
        <v>100</v>
      </c>
      <c r="AS601" s="49">
        <f t="shared" si="125"/>
        <v>0</v>
      </c>
      <c r="AT601" s="49">
        <v>3091500</v>
      </c>
      <c r="AU601" s="49">
        <f>AT601+U601</f>
        <v>6591500</v>
      </c>
      <c r="AV601" s="49">
        <f>AK601</f>
        <v>3730000</v>
      </c>
      <c r="AW601" s="72">
        <f>AV601/AU601*100</f>
        <v>56.588030038686185</v>
      </c>
      <c r="AX601" s="49">
        <f>AU601-AV601</f>
        <v>2861500</v>
      </c>
      <c r="AY601" s="49">
        <f t="shared" si="126"/>
        <v>0</v>
      </c>
      <c r="AZ601" s="73">
        <f t="shared" si="128"/>
        <v>8480000</v>
      </c>
    </row>
    <row r="602" spans="1:53" ht="20.100000000000001" customHeight="1">
      <c r="A602" s="68"/>
      <c r="B602" s="69"/>
      <c r="C602" s="240" t="s">
        <v>810</v>
      </c>
      <c r="D602" s="240"/>
      <c r="E602" s="241"/>
      <c r="F602" s="70"/>
      <c r="G602" s="71"/>
      <c r="H602" s="71"/>
      <c r="I602" s="71"/>
      <c r="J602" s="240" t="s">
        <v>207</v>
      </c>
      <c r="K602" s="241"/>
      <c r="L602" s="49">
        <v>4382000</v>
      </c>
      <c r="M602" s="49">
        <v>0</v>
      </c>
      <c r="N602" s="49"/>
      <c r="O602" s="49"/>
      <c r="P602" s="49"/>
      <c r="Q602" s="49">
        <f>SUM(N602:P602)</f>
        <v>0</v>
      </c>
      <c r="R602" s="72"/>
      <c r="S602" s="49">
        <f>M602-Q602</f>
        <v>0</v>
      </c>
      <c r="T602" s="49">
        <v>2310000</v>
      </c>
      <c r="U602" s="49">
        <f>T602+M602</f>
        <v>2310000</v>
      </c>
      <c r="V602" s="49">
        <f>T602+S602</f>
        <v>2310000</v>
      </c>
      <c r="W602" s="49"/>
      <c r="X602" s="49"/>
      <c r="Y602" s="49"/>
      <c r="Z602" s="49"/>
      <c r="AA602" s="49">
        <v>2072000</v>
      </c>
      <c r="AB602" s="49">
        <v>4382000</v>
      </c>
      <c r="AC602" s="49">
        <f t="shared" si="130"/>
        <v>0</v>
      </c>
      <c r="AD602" s="49">
        <f>AA602+T602+M602</f>
        <v>4382000</v>
      </c>
      <c r="AE602" s="49"/>
      <c r="AF602" s="49"/>
      <c r="AG602" s="49"/>
      <c r="AH602" s="49"/>
      <c r="AI602" s="49"/>
      <c r="AJ602" s="49">
        <v>3495000</v>
      </c>
      <c r="AK602" s="49">
        <f>Z602+Y602+X602+W602+N602+AG602+AE602+AJ602+AI602+AH602</f>
        <v>3495000</v>
      </c>
      <c r="AL602" s="49">
        <f>AK602/AD602*100</f>
        <v>79.758101323596534</v>
      </c>
      <c r="AM602" s="49"/>
      <c r="AN602" s="49"/>
      <c r="AO602" s="49"/>
      <c r="AP602" s="42">
        <v>800000</v>
      </c>
      <c r="AQ602" s="49">
        <f>AK602+AM602+AN602+AO602+AP602</f>
        <v>4295000</v>
      </c>
      <c r="AR602" s="49">
        <f>AQ602/AB602*100</f>
        <v>98.014605203103613</v>
      </c>
      <c r="AS602" s="49">
        <f t="shared" si="125"/>
        <v>87000</v>
      </c>
      <c r="AT602" s="49">
        <v>3091500</v>
      </c>
      <c r="AU602" s="49">
        <f>AT602+U602</f>
        <v>5401500</v>
      </c>
      <c r="AV602" s="49">
        <f>AK602</f>
        <v>3495000</v>
      </c>
      <c r="AW602" s="72">
        <f>AV602/AU602*100</f>
        <v>64.704248819772275</v>
      </c>
      <c r="AX602" s="49">
        <f>AU602-AV602</f>
        <v>1906500</v>
      </c>
      <c r="AY602" s="49">
        <f t="shared" si="126"/>
        <v>1.9853947968963943</v>
      </c>
      <c r="AZ602" s="73">
        <f t="shared" si="128"/>
        <v>4295000</v>
      </c>
      <c r="BA602" s="29">
        <f>AS602</f>
        <v>87000</v>
      </c>
    </row>
    <row r="603" spans="1:53" ht="20.100000000000001" customHeight="1">
      <c r="A603" s="68"/>
      <c r="B603" s="69"/>
      <c r="C603" s="240" t="s">
        <v>811</v>
      </c>
      <c r="D603" s="240"/>
      <c r="E603" s="241"/>
      <c r="F603" s="70"/>
      <c r="G603" s="71"/>
      <c r="H603" s="71"/>
      <c r="I603" s="240" t="s">
        <v>812</v>
      </c>
      <c r="J603" s="240"/>
      <c r="K603" s="241"/>
      <c r="L603" s="49"/>
      <c r="M603" s="49"/>
      <c r="N603" s="49"/>
      <c r="O603" s="49"/>
      <c r="P603" s="49"/>
      <c r="Q603" s="49"/>
      <c r="R603" s="72"/>
      <c r="S603" s="49"/>
      <c r="T603" s="49"/>
      <c r="U603" s="49"/>
      <c r="V603" s="49"/>
      <c r="W603" s="49"/>
      <c r="X603" s="49"/>
      <c r="Y603" s="49"/>
      <c r="Z603" s="49"/>
      <c r="AA603" s="49"/>
      <c r="AB603" s="49"/>
      <c r="AC603" s="49">
        <f t="shared" si="130"/>
        <v>0</v>
      </c>
      <c r="AD603" s="49"/>
      <c r="AE603" s="49"/>
      <c r="AF603" s="49"/>
      <c r="AG603" s="49"/>
      <c r="AH603" s="49"/>
      <c r="AI603" s="49"/>
      <c r="AJ603" s="49"/>
      <c r="AK603" s="49"/>
      <c r="AL603" s="49"/>
      <c r="AM603" s="49"/>
      <c r="AN603" s="49"/>
      <c r="AO603" s="49"/>
      <c r="AP603" s="42"/>
      <c r="AQ603" s="49"/>
      <c r="AR603" s="49"/>
      <c r="AS603" s="49"/>
      <c r="AT603" s="49"/>
      <c r="AU603" s="49"/>
      <c r="AV603" s="49"/>
      <c r="AW603" s="49"/>
      <c r="AX603" s="49"/>
      <c r="AY603" s="49"/>
      <c r="AZ603" s="73">
        <f t="shared" si="128"/>
        <v>0</v>
      </c>
    </row>
    <row r="604" spans="1:53" ht="20.100000000000001" customHeight="1">
      <c r="A604" s="68"/>
      <c r="B604" s="69"/>
      <c r="C604" s="240" t="s">
        <v>813</v>
      </c>
      <c r="D604" s="240"/>
      <c r="E604" s="241"/>
      <c r="F604" s="70"/>
      <c r="G604" s="71"/>
      <c r="H604" s="71"/>
      <c r="I604" s="71"/>
      <c r="J604" s="240" t="s">
        <v>814</v>
      </c>
      <c r="K604" s="241"/>
      <c r="L604" s="49">
        <v>46500000</v>
      </c>
      <c r="M604" s="49">
        <v>0</v>
      </c>
      <c r="N604" s="49"/>
      <c r="O604" s="49"/>
      <c r="P604" s="49"/>
      <c r="Q604" s="49">
        <f>SUM(N604:P604)</f>
        <v>0</v>
      </c>
      <c r="R604" s="72"/>
      <c r="S604" s="49">
        <f>M604-Q604</f>
        <v>0</v>
      </c>
      <c r="T604" s="49">
        <v>0</v>
      </c>
      <c r="U604" s="49">
        <f>T604+M604</f>
        <v>0</v>
      </c>
      <c r="V604" s="49">
        <f>T604+S604</f>
        <v>0</v>
      </c>
      <c r="W604" s="49"/>
      <c r="X604" s="49"/>
      <c r="Y604" s="49"/>
      <c r="Z604" s="49"/>
      <c r="AA604" s="49">
        <v>46500000</v>
      </c>
      <c r="AB604" s="49">
        <v>46500000</v>
      </c>
      <c r="AC604" s="49">
        <f t="shared" si="130"/>
        <v>0</v>
      </c>
      <c r="AD604" s="49">
        <f>AA604+T604+M604</f>
        <v>46500000</v>
      </c>
      <c r="AE604" s="49"/>
      <c r="AF604" s="49"/>
      <c r="AG604" s="49"/>
      <c r="AH604" s="49"/>
      <c r="AI604" s="49"/>
      <c r="AJ604" s="49"/>
      <c r="AK604" s="49">
        <f>Z604+Y604+X604+W604+N604+AG604+AE604+AJ604+AI604+AH604</f>
        <v>0</v>
      </c>
      <c r="AL604" s="49">
        <f>AK604/AD604*100</f>
        <v>0</v>
      </c>
      <c r="AM604" s="48"/>
      <c r="AN604" s="49"/>
      <c r="AO604" s="49"/>
      <c r="AP604" s="42">
        <v>0</v>
      </c>
      <c r="AQ604" s="49">
        <f>AK604+AM604+AN604+AO604+AP604</f>
        <v>0</v>
      </c>
      <c r="AR604" s="49">
        <f>AQ604/AB604*100</f>
        <v>0</v>
      </c>
      <c r="AS604" s="49">
        <f t="shared" si="125"/>
        <v>46500000</v>
      </c>
      <c r="AT604" s="49">
        <v>3091500</v>
      </c>
      <c r="AU604" s="49">
        <f>AT604+U604</f>
        <v>3091500</v>
      </c>
      <c r="AV604" s="49">
        <f>AK604</f>
        <v>0</v>
      </c>
      <c r="AW604" s="72">
        <f>AV604/AU604*100</f>
        <v>0</v>
      </c>
      <c r="AX604" s="49">
        <f>AU604-AV604</f>
        <v>3091500</v>
      </c>
      <c r="AY604" s="49">
        <f t="shared" si="126"/>
        <v>100</v>
      </c>
      <c r="AZ604" s="73">
        <f t="shared" si="128"/>
        <v>0</v>
      </c>
    </row>
    <row r="605" spans="1:53" ht="20.100000000000001" customHeight="1">
      <c r="A605" s="68"/>
      <c r="B605" s="69"/>
      <c r="C605" s="240" t="s">
        <v>815</v>
      </c>
      <c r="D605" s="240"/>
      <c r="E605" s="241"/>
      <c r="F605" s="70"/>
      <c r="G605" s="71"/>
      <c r="H605" s="71"/>
      <c r="I605" s="240" t="s">
        <v>402</v>
      </c>
      <c r="J605" s="240"/>
      <c r="K605" s="241"/>
      <c r="L605" s="49"/>
      <c r="M605" s="49"/>
      <c r="N605" s="49"/>
      <c r="O605" s="49"/>
      <c r="P605" s="49"/>
      <c r="Q605" s="49"/>
      <c r="R605" s="72"/>
      <c r="S605" s="49"/>
      <c r="T605" s="49"/>
      <c r="U605" s="49"/>
      <c r="V605" s="49"/>
      <c r="W605" s="49"/>
      <c r="X605" s="49"/>
      <c r="Y605" s="49"/>
      <c r="Z605" s="49"/>
      <c r="AA605" s="49"/>
      <c r="AB605" s="49"/>
      <c r="AC605" s="49">
        <f t="shared" si="130"/>
        <v>0</v>
      </c>
      <c r="AD605" s="49"/>
      <c r="AE605" s="49"/>
      <c r="AF605" s="49"/>
      <c r="AG605" s="49"/>
      <c r="AH605" s="49"/>
      <c r="AI605" s="49"/>
      <c r="AJ605" s="49"/>
      <c r="AK605" s="49"/>
      <c r="AL605" s="49"/>
      <c r="AM605" s="49"/>
      <c r="AN605" s="49"/>
      <c r="AO605" s="49"/>
      <c r="AP605" s="42"/>
      <c r="AQ605" s="49"/>
      <c r="AR605" s="49"/>
      <c r="AS605" s="49"/>
      <c r="AT605" s="49"/>
      <c r="AU605" s="49"/>
      <c r="AV605" s="49"/>
      <c r="AW605" s="49"/>
      <c r="AX605" s="49"/>
      <c r="AY605" s="49"/>
      <c r="AZ605" s="73">
        <f t="shared" si="128"/>
        <v>0</v>
      </c>
    </row>
    <row r="606" spans="1:53" ht="20.100000000000001" customHeight="1">
      <c r="A606" s="68"/>
      <c r="B606" s="69"/>
      <c r="C606" s="240" t="s">
        <v>816</v>
      </c>
      <c r="D606" s="240"/>
      <c r="E606" s="241"/>
      <c r="F606" s="70"/>
      <c r="G606" s="71"/>
      <c r="H606" s="71"/>
      <c r="I606" s="71"/>
      <c r="J606" s="240" t="s">
        <v>404</v>
      </c>
      <c r="K606" s="241"/>
      <c r="L606" s="49">
        <v>93000000</v>
      </c>
      <c r="M606" s="49">
        <v>10500000</v>
      </c>
      <c r="N606" s="49">
        <v>10500000</v>
      </c>
      <c r="O606" s="49"/>
      <c r="P606" s="49"/>
      <c r="Q606" s="49">
        <f>SUM(N606:P606)</f>
        <v>10500000</v>
      </c>
      <c r="R606" s="72">
        <f>Q606/M606*100</f>
        <v>100</v>
      </c>
      <c r="S606" s="49">
        <f>M606-Q606</f>
        <v>0</v>
      </c>
      <c r="T606" s="49">
        <v>25500000</v>
      </c>
      <c r="U606" s="49">
        <f>T606+M606</f>
        <v>36000000</v>
      </c>
      <c r="V606" s="49">
        <f>T606+S606</f>
        <v>25500000</v>
      </c>
      <c r="W606" s="49">
        <v>25500000</v>
      </c>
      <c r="X606" s="49"/>
      <c r="Y606" s="49"/>
      <c r="Z606" s="49"/>
      <c r="AA606" s="49">
        <v>28500000</v>
      </c>
      <c r="AB606" s="49">
        <v>93000000</v>
      </c>
      <c r="AC606" s="49">
        <f t="shared" si="130"/>
        <v>0</v>
      </c>
      <c r="AD606" s="49">
        <f>AA606+T606+M606</f>
        <v>64500000</v>
      </c>
      <c r="AE606" s="49"/>
      <c r="AF606" s="49"/>
      <c r="AG606" s="49">
        <v>18000000</v>
      </c>
      <c r="AH606" s="49"/>
      <c r="AI606" s="49"/>
      <c r="AJ606" s="49"/>
      <c r="AK606" s="49">
        <f>Z606+Y606+X606+W606+N606+AG606+AE606+AJ606+AI606+AH606</f>
        <v>54000000</v>
      </c>
      <c r="AL606" s="49">
        <f>AK606/AD606*100</f>
        <v>83.720930232558146</v>
      </c>
      <c r="AM606" s="49"/>
      <c r="AN606" s="49"/>
      <c r="AO606" s="49"/>
      <c r="AP606" s="42">
        <v>39000000</v>
      </c>
      <c r="AQ606" s="49">
        <f>AK606+AM606+AN606+AO606+AP606</f>
        <v>93000000</v>
      </c>
      <c r="AR606" s="49">
        <f>AQ606/AB606*100</f>
        <v>100</v>
      </c>
      <c r="AS606" s="49">
        <f t="shared" si="125"/>
        <v>0</v>
      </c>
      <c r="AT606" s="49">
        <v>3091500</v>
      </c>
      <c r="AU606" s="49">
        <f>AT606+U606</f>
        <v>39091500</v>
      </c>
      <c r="AV606" s="49">
        <f>AK606</f>
        <v>54000000</v>
      </c>
      <c r="AW606" s="72">
        <f>AV606/AU606*100</f>
        <v>138.13744675952572</v>
      </c>
      <c r="AX606" s="49">
        <f>AU606-AV606</f>
        <v>-14908500</v>
      </c>
      <c r="AY606" s="49">
        <f t="shared" si="126"/>
        <v>0</v>
      </c>
      <c r="AZ606" s="73">
        <f t="shared" si="128"/>
        <v>93000000</v>
      </c>
    </row>
    <row r="607" spans="1:53" ht="20.100000000000001" customHeight="1">
      <c r="A607" s="62">
        <v>36</v>
      </c>
      <c r="B607" s="63"/>
      <c r="C607" s="242" t="s">
        <v>817</v>
      </c>
      <c r="D607" s="242"/>
      <c r="E607" s="243"/>
      <c r="F607" s="64"/>
      <c r="G607" s="244" t="s">
        <v>818</v>
      </c>
      <c r="H607" s="244"/>
      <c r="I607" s="244"/>
      <c r="J607" s="244"/>
      <c r="K607" s="245"/>
      <c r="L607" s="65">
        <f>SUM(L610:L634)</f>
        <v>200000000</v>
      </c>
      <c r="M607" s="65">
        <f>SUM(M610:M634)</f>
        <v>3050000</v>
      </c>
      <c r="N607" s="65">
        <f>SUM(N610:N634)</f>
        <v>3049700</v>
      </c>
      <c r="O607" s="65">
        <f>SUM(O610:O634)</f>
        <v>0</v>
      </c>
      <c r="P607" s="65">
        <f>SUM(P610:P634)</f>
        <v>0</v>
      </c>
      <c r="Q607" s="65">
        <f>SUM(N607:P607)</f>
        <v>3049700</v>
      </c>
      <c r="R607" s="66">
        <f>Q607/M607*100</f>
        <v>99.990163934426235</v>
      </c>
      <c r="S607" s="65">
        <f>M607-Q607</f>
        <v>300</v>
      </c>
      <c r="T607" s="65">
        <f>SUM(T610:T634)</f>
        <v>25460000</v>
      </c>
      <c r="U607" s="65">
        <f>T607+M607</f>
        <v>28510000</v>
      </c>
      <c r="V607" s="65">
        <f>T607+S607</f>
        <v>25460300</v>
      </c>
      <c r="W607" s="65">
        <f>SUM(W610:W634)</f>
        <v>0</v>
      </c>
      <c r="X607" s="65">
        <f>SUM(X610:X634)</f>
        <v>0</v>
      </c>
      <c r="Y607" s="65">
        <f>SUM(Y610:Y634)</f>
        <v>0</v>
      </c>
      <c r="Z607" s="65"/>
      <c r="AA607" s="65">
        <f>SUM(AA610:AA634)</f>
        <v>85220000</v>
      </c>
      <c r="AB607" s="65">
        <f>SUM(AB610:AB634)</f>
        <v>200000000</v>
      </c>
      <c r="AC607" s="65">
        <f t="shared" si="130"/>
        <v>0</v>
      </c>
      <c r="AD607" s="65">
        <f>AA607+T607+M607</f>
        <v>113730000</v>
      </c>
      <c r="AE607" s="65">
        <f t="shared" ref="AE607:AK607" si="132">SUM(AE610:AE634)</f>
        <v>0</v>
      </c>
      <c r="AF607" s="65">
        <f t="shared" si="132"/>
        <v>0</v>
      </c>
      <c r="AG607" s="65">
        <f t="shared" si="132"/>
        <v>23060000</v>
      </c>
      <c r="AH607" s="65">
        <f t="shared" si="132"/>
        <v>0</v>
      </c>
      <c r="AI607" s="65">
        <f t="shared" si="132"/>
        <v>0</v>
      </c>
      <c r="AJ607" s="65">
        <f t="shared" si="132"/>
        <v>41900000</v>
      </c>
      <c r="AK607" s="65">
        <f t="shared" si="132"/>
        <v>68009700</v>
      </c>
      <c r="AL607" s="65">
        <f>AK607/AB607*100</f>
        <v>34.004849999999998</v>
      </c>
      <c r="AM607" s="65">
        <f>SUM(AM610:AM634)</f>
        <v>21210000</v>
      </c>
      <c r="AN607" s="65">
        <f>SUM(AN610:AN634)</f>
        <v>42500000</v>
      </c>
      <c r="AO607" s="65">
        <f>SUM(AO610:AO634)</f>
        <v>0</v>
      </c>
      <c r="AP607" s="65">
        <f>SUM(AP610:AP634)</f>
        <v>0</v>
      </c>
      <c r="AQ607" s="65">
        <f>AK607+AM607+AN607+AO607+AP607</f>
        <v>131719700</v>
      </c>
      <c r="AR607" s="65">
        <f>AQ607/AB607*100</f>
        <v>65.859849999999994</v>
      </c>
      <c r="AS607" s="65">
        <f>AB607-AQ607</f>
        <v>68280300</v>
      </c>
      <c r="AT607" s="65">
        <f>SUM(AT610:AT616)</f>
        <v>12366000</v>
      </c>
      <c r="AU607" s="65">
        <f>AT607+U607</f>
        <v>40876000</v>
      </c>
      <c r="AV607" s="65">
        <f>AK607</f>
        <v>68009700</v>
      </c>
      <c r="AW607" s="66">
        <f>AV607/AU607*100</f>
        <v>166.3805166846071</v>
      </c>
      <c r="AX607" s="65">
        <f>AU607-AV607</f>
        <v>-27133700</v>
      </c>
      <c r="AY607" s="65">
        <f>AS607/AB607*100</f>
        <v>34.140150000000006</v>
      </c>
      <c r="AZ607" s="67">
        <f t="shared" si="128"/>
        <v>131719700</v>
      </c>
    </row>
    <row r="608" spans="1:53" ht="20.100000000000001" customHeight="1">
      <c r="A608" s="68"/>
      <c r="B608" s="69"/>
      <c r="C608" s="240" t="s">
        <v>819</v>
      </c>
      <c r="D608" s="240"/>
      <c r="E608" s="241"/>
      <c r="F608" s="70"/>
      <c r="G608" s="71"/>
      <c r="H608" s="240" t="s">
        <v>10</v>
      </c>
      <c r="I608" s="240"/>
      <c r="J608" s="240"/>
      <c r="K608" s="241"/>
      <c r="L608" s="49"/>
      <c r="M608" s="49"/>
      <c r="N608" s="49"/>
      <c r="O608" s="49"/>
      <c r="P608" s="49"/>
      <c r="Q608" s="49"/>
      <c r="R608" s="72"/>
      <c r="S608" s="49"/>
      <c r="T608" s="49"/>
      <c r="U608" s="49"/>
      <c r="V608" s="49"/>
      <c r="W608" s="49"/>
      <c r="X608" s="49"/>
      <c r="Y608" s="49"/>
      <c r="Z608" s="49"/>
      <c r="AA608" s="49"/>
      <c r="AB608" s="49"/>
      <c r="AC608" s="49">
        <f t="shared" si="130"/>
        <v>0</v>
      </c>
      <c r="AD608" s="49"/>
      <c r="AE608" s="49"/>
      <c r="AF608" s="49"/>
      <c r="AG608" s="49"/>
      <c r="AH608" s="49"/>
      <c r="AI608" s="49"/>
      <c r="AJ608" s="49"/>
      <c r="AK608" s="49"/>
      <c r="AL608" s="49"/>
      <c r="AM608" s="42">
        <f>44530000-AN607</f>
        <v>2030000</v>
      </c>
      <c r="AN608" s="49"/>
      <c r="AO608" s="49"/>
      <c r="AP608" s="49"/>
      <c r="AQ608" s="49"/>
      <c r="AR608" s="49"/>
      <c r="AS608" s="49"/>
      <c r="AT608" s="49"/>
      <c r="AU608" s="49"/>
      <c r="AV608" s="49"/>
      <c r="AW608" s="49"/>
      <c r="AX608" s="49"/>
      <c r="AY608" s="49"/>
      <c r="AZ608" s="73">
        <f t="shared" si="128"/>
        <v>0</v>
      </c>
    </row>
    <row r="609" spans="1:53" ht="20.100000000000001" customHeight="1">
      <c r="A609" s="68"/>
      <c r="B609" s="69"/>
      <c r="C609" s="240" t="s">
        <v>820</v>
      </c>
      <c r="D609" s="240"/>
      <c r="E609" s="241"/>
      <c r="F609" s="70"/>
      <c r="G609" s="71"/>
      <c r="H609" s="71"/>
      <c r="I609" s="240" t="s">
        <v>177</v>
      </c>
      <c r="J609" s="240"/>
      <c r="K609" s="241"/>
      <c r="L609" s="49"/>
      <c r="M609" s="49"/>
      <c r="N609" s="49"/>
      <c r="O609" s="49"/>
      <c r="P609" s="49"/>
      <c r="Q609" s="49"/>
      <c r="R609" s="72"/>
      <c r="S609" s="49"/>
      <c r="T609" s="49"/>
      <c r="U609" s="49"/>
      <c r="V609" s="49"/>
      <c r="W609" s="49"/>
      <c r="X609" s="49"/>
      <c r="Y609" s="49"/>
      <c r="Z609" s="49"/>
      <c r="AA609" s="49"/>
      <c r="AB609" s="49"/>
      <c r="AC609" s="49">
        <f t="shared" si="130"/>
        <v>0</v>
      </c>
      <c r="AD609" s="49"/>
      <c r="AE609" s="49"/>
      <c r="AF609" s="49"/>
      <c r="AG609" s="49"/>
      <c r="AH609" s="49"/>
      <c r="AI609" s="49"/>
      <c r="AJ609" s="49"/>
      <c r="AK609" s="49"/>
      <c r="AL609" s="49"/>
      <c r="AM609" s="49"/>
      <c r="AN609" s="49"/>
      <c r="AO609" s="49"/>
      <c r="AP609" s="49"/>
      <c r="AQ609" s="49"/>
      <c r="AR609" s="49"/>
      <c r="AS609" s="49"/>
      <c r="AT609" s="49"/>
      <c r="AU609" s="49"/>
      <c r="AV609" s="49"/>
      <c r="AW609" s="49"/>
      <c r="AX609" s="49"/>
      <c r="AY609" s="49"/>
      <c r="AZ609" s="73">
        <f t="shared" si="128"/>
        <v>0</v>
      </c>
    </row>
    <row r="610" spans="1:53" ht="20.100000000000001" customHeight="1">
      <c r="A610" s="68"/>
      <c r="B610" s="69"/>
      <c r="C610" s="240" t="s">
        <v>821</v>
      </c>
      <c r="D610" s="240"/>
      <c r="E610" s="241"/>
      <c r="F610" s="70"/>
      <c r="G610" s="71"/>
      <c r="H610" s="71"/>
      <c r="I610" s="71"/>
      <c r="J610" s="240" t="s">
        <v>283</v>
      </c>
      <c r="K610" s="241"/>
      <c r="L610" s="49">
        <v>15000000</v>
      </c>
      <c r="M610" s="49">
        <v>0</v>
      </c>
      <c r="N610" s="49"/>
      <c r="O610" s="49"/>
      <c r="P610" s="49"/>
      <c r="Q610" s="49">
        <f>SUM(N610:P610)</f>
        <v>0</v>
      </c>
      <c r="R610" s="72"/>
      <c r="S610" s="49">
        <f>M610-Q610</f>
        <v>0</v>
      </c>
      <c r="T610" s="49">
        <v>0</v>
      </c>
      <c r="U610" s="49">
        <f>T610+M610</f>
        <v>0</v>
      </c>
      <c r="V610" s="49">
        <f>T610+S610</f>
        <v>0</v>
      </c>
      <c r="W610" s="49"/>
      <c r="X610" s="49"/>
      <c r="Y610" s="49"/>
      <c r="Z610" s="49"/>
      <c r="AA610" s="49">
        <v>11250000</v>
      </c>
      <c r="AB610" s="49">
        <v>15000000</v>
      </c>
      <c r="AC610" s="49">
        <f t="shared" si="130"/>
        <v>0</v>
      </c>
      <c r="AD610" s="49">
        <f>AA610+T610+M610</f>
        <v>11250000</v>
      </c>
      <c r="AE610" s="49"/>
      <c r="AF610" s="49"/>
      <c r="AG610" s="49"/>
      <c r="AH610" s="49"/>
      <c r="AI610" s="49"/>
      <c r="AJ610" s="49"/>
      <c r="AK610" s="49">
        <f>Z610+Y610+X610+W610+N610+AG610+AE610+AJ610+AI610+AH610</f>
        <v>0</v>
      </c>
      <c r="AL610" s="49">
        <f>AK610/AD610*100</f>
        <v>0</v>
      </c>
      <c r="AM610" s="49"/>
      <c r="AN610" s="42">
        <v>15000000</v>
      </c>
      <c r="AO610" s="49"/>
      <c r="AP610" s="49"/>
      <c r="AQ610" s="49">
        <f>AK610+AM610+AN610+AO610+AP610</f>
        <v>15000000</v>
      </c>
      <c r="AR610" s="49">
        <f>AQ610/AB610*100</f>
        <v>100</v>
      </c>
      <c r="AS610" s="49">
        <f>AB610-AQ610</f>
        <v>0</v>
      </c>
      <c r="AT610" s="49">
        <v>3091500</v>
      </c>
      <c r="AU610" s="49">
        <f>AT610+U610</f>
        <v>3091500</v>
      </c>
      <c r="AV610" s="49">
        <f>AK610</f>
        <v>0</v>
      </c>
      <c r="AW610" s="72">
        <f>AV610/AU610*100</f>
        <v>0</v>
      </c>
      <c r="AX610" s="49">
        <f>AU610-AV610</f>
        <v>3091500</v>
      </c>
      <c r="AY610" s="49">
        <f t="shared" ref="AY610:AY672" si="133">AS610/AB610*100</f>
        <v>0</v>
      </c>
      <c r="AZ610" s="73">
        <f t="shared" si="128"/>
        <v>15000000</v>
      </c>
    </row>
    <row r="611" spans="1:53" ht="20.100000000000001" customHeight="1">
      <c r="A611" s="68"/>
      <c r="B611" s="69"/>
      <c r="C611" s="240" t="s">
        <v>822</v>
      </c>
      <c r="D611" s="240"/>
      <c r="E611" s="241"/>
      <c r="F611" s="70"/>
      <c r="G611" s="71"/>
      <c r="H611" s="71"/>
      <c r="I611" s="71"/>
      <c r="J611" s="240" t="s">
        <v>384</v>
      </c>
      <c r="K611" s="241"/>
      <c r="L611" s="49">
        <v>1240000</v>
      </c>
      <c r="M611" s="49">
        <v>0</v>
      </c>
      <c r="N611" s="49"/>
      <c r="O611" s="49"/>
      <c r="P611" s="49"/>
      <c r="Q611" s="49">
        <f>SUM(N611:P611)</f>
        <v>0</v>
      </c>
      <c r="R611" s="72"/>
      <c r="S611" s="49">
        <f>M611-Q611</f>
        <v>0</v>
      </c>
      <c r="T611" s="49">
        <v>0</v>
      </c>
      <c r="U611" s="49">
        <f>T611+M611</f>
        <v>0</v>
      </c>
      <c r="V611" s="49">
        <f>T611+S611</f>
        <v>0</v>
      </c>
      <c r="W611" s="49"/>
      <c r="X611" s="49"/>
      <c r="Y611" s="49"/>
      <c r="Z611" s="49"/>
      <c r="AA611" s="49">
        <v>1240000</v>
      </c>
      <c r="AB611" s="49">
        <v>1240000</v>
      </c>
      <c r="AC611" s="49">
        <f t="shared" si="130"/>
        <v>0</v>
      </c>
      <c r="AD611" s="49">
        <f>AA611+T611+M611</f>
        <v>1240000</v>
      </c>
      <c r="AE611" s="49"/>
      <c r="AF611" s="49"/>
      <c r="AG611" s="49"/>
      <c r="AH611" s="49"/>
      <c r="AI611" s="49"/>
      <c r="AJ611" s="49"/>
      <c r="AK611" s="49">
        <f>Z611+Y611+X611+W611+N611+AG611+AE611+AJ611+AI611+AH611</f>
        <v>0</v>
      </c>
      <c r="AL611" s="49">
        <f>AK611/AD611*100</f>
        <v>0</v>
      </c>
      <c r="AM611" s="49"/>
      <c r="AN611" s="42">
        <v>1240000</v>
      </c>
      <c r="AO611" s="49"/>
      <c r="AP611" s="49"/>
      <c r="AQ611" s="49">
        <f>AK611+AM611+AN611+AO611+AP611</f>
        <v>1240000</v>
      </c>
      <c r="AR611" s="49">
        <f>AQ611/AB611*100</f>
        <v>100</v>
      </c>
      <c r="AS611" s="49">
        <f>AB611-AQ611</f>
        <v>0</v>
      </c>
      <c r="AT611" s="49">
        <v>3091500</v>
      </c>
      <c r="AU611" s="49">
        <f>AT611+U611</f>
        <v>3091500</v>
      </c>
      <c r="AV611" s="49">
        <f>AK611</f>
        <v>0</v>
      </c>
      <c r="AW611" s="72">
        <f>AV611/AU611*100</f>
        <v>0</v>
      </c>
      <c r="AX611" s="49">
        <f>AU611-AV611</f>
        <v>3091500</v>
      </c>
      <c r="AY611" s="49">
        <f t="shared" si="133"/>
        <v>0</v>
      </c>
      <c r="AZ611" s="73">
        <f t="shared" si="128"/>
        <v>1240000</v>
      </c>
    </row>
    <row r="612" spans="1:53" ht="20.100000000000001" customHeight="1">
      <c r="A612" s="68"/>
      <c r="B612" s="69"/>
      <c r="C612" s="240" t="s">
        <v>823</v>
      </c>
      <c r="D612" s="240"/>
      <c r="E612" s="241"/>
      <c r="F612" s="70"/>
      <c r="G612" s="71"/>
      <c r="H612" s="240" t="s">
        <v>143</v>
      </c>
      <c r="I612" s="240"/>
      <c r="J612" s="240"/>
      <c r="K612" s="241"/>
      <c r="L612" s="49"/>
      <c r="M612" s="49"/>
      <c r="N612" s="49"/>
      <c r="O612" s="49"/>
      <c r="P612" s="49"/>
      <c r="Q612" s="49"/>
      <c r="R612" s="72"/>
      <c r="S612" s="49"/>
      <c r="T612" s="49"/>
      <c r="U612" s="49"/>
      <c r="V612" s="49"/>
      <c r="W612" s="49"/>
      <c r="X612" s="49"/>
      <c r="Y612" s="49"/>
      <c r="Z612" s="49"/>
      <c r="AA612" s="49"/>
      <c r="AB612" s="49"/>
      <c r="AC612" s="49">
        <f t="shared" si="130"/>
        <v>0</v>
      </c>
      <c r="AD612" s="49"/>
      <c r="AE612" s="49"/>
      <c r="AF612" s="49"/>
      <c r="AG612" s="49"/>
      <c r="AH612" s="49"/>
      <c r="AI612" s="49"/>
      <c r="AJ612" s="49"/>
      <c r="AK612" s="49"/>
      <c r="AL612" s="49"/>
      <c r="AM612" s="49"/>
      <c r="AN612" s="49"/>
      <c r="AO612" s="49"/>
      <c r="AP612" s="49"/>
      <c r="AQ612" s="49"/>
      <c r="AR612" s="49"/>
      <c r="AS612" s="49"/>
      <c r="AT612" s="49"/>
      <c r="AU612" s="49"/>
      <c r="AV612" s="49"/>
      <c r="AW612" s="49"/>
      <c r="AX612" s="49"/>
      <c r="AY612" s="49"/>
      <c r="AZ612" s="73">
        <f t="shared" ref="AZ612:AZ675" si="134">AQ612-AO612</f>
        <v>0</v>
      </c>
    </row>
    <row r="613" spans="1:53" ht="20.100000000000001" customHeight="1">
      <c r="A613" s="68"/>
      <c r="B613" s="69"/>
      <c r="C613" s="240" t="s">
        <v>824</v>
      </c>
      <c r="D613" s="240"/>
      <c r="E613" s="241"/>
      <c r="F613" s="70"/>
      <c r="G613" s="71"/>
      <c r="H613" s="71"/>
      <c r="I613" s="240" t="s">
        <v>145</v>
      </c>
      <c r="J613" s="240"/>
      <c r="K613" s="241"/>
      <c r="L613" s="49"/>
      <c r="M613" s="49"/>
      <c r="N613" s="49"/>
      <c r="O613" s="49"/>
      <c r="P613" s="49"/>
      <c r="Q613" s="49"/>
      <c r="R613" s="72"/>
      <c r="S613" s="49"/>
      <c r="T613" s="49">
        <v>0</v>
      </c>
      <c r="U613" s="49">
        <f>T613+M613</f>
        <v>0</v>
      </c>
      <c r="V613" s="49">
        <f>T613+S613</f>
        <v>0</v>
      </c>
      <c r="W613" s="49"/>
      <c r="X613" s="49"/>
      <c r="Y613" s="49"/>
      <c r="Z613" s="49"/>
      <c r="AA613" s="49">
        <v>0</v>
      </c>
      <c r="AB613" s="49"/>
      <c r="AC613" s="49">
        <f t="shared" si="130"/>
        <v>0</v>
      </c>
      <c r="AD613" s="49"/>
      <c r="AE613" s="49"/>
      <c r="AF613" s="49"/>
      <c r="AG613" s="49"/>
      <c r="AH613" s="49"/>
      <c r="AI613" s="49"/>
      <c r="AJ613" s="49"/>
      <c r="AK613" s="49"/>
      <c r="AL613" s="49"/>
      <c r="AM613" s="49"/>
      <c r="AN613" s="49"/>
      <c r="AO613" s="49"/>
      <c r="AP613" s="49"/>
      <c r="AQ613" s="49"/>
      <c r="AR613" s="49"/>
      <c r="AS613" s="49"/>
      <c r="AT613" s="49"/>
      <c r="AU613" s="49"/>
      <c r="AV613" s="49"/>
      <c r="AW613" s="49"/>
      <c r="AX613" s="49"/>
      <c r="AY613" s="49"/>
      <c r="AZ613" s="73">
        <f t="shared" si="134"/>
        <v>0</v>
      </c>
    </row>
    <row r="614" spans="1:53" ht="20.100000000000001" customHeight="1">
      <c r="A614" s="68"/>
      <c r="B614" s="69"/>
      <c r="C614" s="240" t="s">
        <v>825</v>
      </c>
      <c r="D614" s="240"/>
      <c r="E614" s="241"/>
      <c r="F614" s="70"/>
      <c r="G614" s="71"/>
      <c r="H614" s="71"/>
      <c r="I614" s="71"/>
      <c r="J614" s="240" t="s">
        <v>147</v>
      </c>
      <c r="K614" s="241"/>
      <c r="L614" s="49">
        <v>3050000</v>
      </c>
      <c r="M614" s="49">
        <v>3050000</v>
      </c>
      <c r="N614" s="49">
        <v>3049700</v>
      </c>
      <c r="O614" s="49"/>
      <c r="P614" s="49"/>
      <c r="Q614" s="49">
        <f>SUM(N614:P614)</f>
        <v>3049700</v>
      </c>
      <c r="R614" s="72">
        <f>Q614/M614*100</f>
        <v>99.990163934426235</v>
      </c>
      <c r="S614" s="49">
        <f>M614-Q614</f>
        <v>300</v>
      </c>
      <c r="T614" s="49">
        <v>0</v>
      </c>
      <c r="U614" s="49">
        <f>T614+M614</f>
        <v>3050000</v>
      </c>
      <c r="V614" s="49">
        <f>T614+S614</f>
        <v>300</v>
      </c>
      <c r="W614" s="49"/>
      <c r="X614" s="49"/>
      <c r="Y614" s="49"/>
      <c r="Z614" s="49"/>
      <c r="AA614" s="49">
        <v>0</v>
      </c>
      <c r="AB614" s="49">
        <v>3050000</v>
      </c>
      <c r="AC614" s="49">
        <f t="shared" si="130"/>
        <v>0</v>
      </c>
      <c r="AD614" s="49">
        <f>AA614+T614+M614</f>
        <v>3050000</v>
      </c>
      <c r="AE614" s="49"/>
      <c r="AF614" s="49"/>
      <c r="AG614" s="49"/>
      <c r="AH614" s="49"/>
      <c r="AI614" s="49"/>
      <c r="AJ614" s="49"/>
      <c r="AK614" s="49">
        <f>Z614+Y614+X614+W614+N614+AG614+AE614+AJ614+AI614+AH614</f>
        <v>3049700</v>
      </c>
      <c r="AL614" s="49">
        <f>AK614/AD614*100</f>
        <v>99.990163934426235</v>
      </c>
      <c r="AM614" s="49"/>
      <c r="AN614" s="49"/>
      <c r="AO614" s="49"/>
      <c r="AP614" s="49"/>
      <c r="AQ614" s="49">
        <f>AK614+AM614+AN614+AO614+AP614</f>
        <v>3049700</v>
      </c>
      <c r="AR614" s="49">
        <f>AQ614/AB614*100</f>
        <v>99.990163934426235</v>
      </c>
      <c r="AS614" s="49">
        <f t="shared" ref="AS614:AS673" si="135">AB614-AQ614</f>
        <v>300</v>
      </c>
      <c r="AT614" s="49">
        <v>3091500</v>
      </c>
      <c r="AU614" s="49">
        <f>AT614+U614</f>
        <v>6141500</v>
      </c>
      <c r="AV614" s="49">
        <f>AK614</f>
        <v>3049700</v>
      </c>
      <c r="AW614" s="72">
        <f>AV614/AU614*100</f>
        <v>49.657249857526665</v>
      </c>
      <c r="AX614" s="49">
        <f>AU614-AV614</f>
        <v>3091800</v>
      </c>
      <c r="AY614" s="49">
        <f t="shared" si="133"/>
        <v>9.8360655737704909E-3</v>
      </c>
      <c r="AZ614" s="73">
        <f t="shared" si="134"/>
        <v>3049700</v>
      </c>
    </row>
    <row r="615" spans="1:53" ht="20.100000000000001" customHeight="1">
      <c r="A615" s="68"/>
      <c r="B615" s="69"/>
      <c r="C615" s="240" t="s">
        <v>826</v>
      </c>
      <c r="D615" s="240"/>
      <c r="E615" s="241"/>
      <c r="F615" s="70"/>
      <c r="G615" s="71"/>
      <c r="H615" s="71"/>
      <c r="I615" s="240" t="s">
        <v>389</v>
      </c>
      <c r="J615" s="240"/>
      <c r="K615" s="241"/>
      <c r="L615" s="49"/>
      <c r="M615" s="49"/>
      <c r="N615" s="49"/>
      <c r="O615" s="49"/>
      <c r="P615" s="49"/>
      <c r="Q615" s="49"/>
      <c r="R615" s="72"/>
      <c r="S615" s="49"/>
      <c r="T615" s="49"/>
      <c r="U615" s="49"/>
      <c r="V615" s="49"/>
      <c r="W615" s="49"/>
      <c r="X615" s="49"/>
      <c r="Y615" s="49"/>
      <c r="Z615" s="49"/>
      <c r="AA615" s="49"/>
      <c r="AB615" s="49"/>
      <c r="AC615" s="49">
        <f t="shared" si="130"/>
        <v>0</v>
      </c>
      <c r="AD615" s="49"/>
      <c r="AE615" s="49"/>
      <c r="AF615" s="49"/>
      <c r="AG615" s="49"/>
      <c r="AH615" s="49"/>
      <c r="AI615" s="49"/>
      <c r="AJ615" s="49"/>
      <c r="AK615" s="49"/>
      <c r="AL615" s="49"/>
      <c r="AM615" s="49"/>
      <c r="AN615" s="49"/>
      <c r="AO615" s="49"/>
      <c r="AP615" s="49"/>
      <c r="AQ615" s="49"/>
      <c r="AR615" s="49"/>
      <c r="AS615" s="49"/>
      <c r="AT615" s="49"/>
      <c r="AU615" s="49"/>
      <c r="AV615" s="49"/>
      <c r="AW615" s="49"/>
      <c r="AX615" s="49"/>
      <c r="AY615" s="49"/>
      <c r="AZ615" s="73">
        <f t="shared" si="134"/>
        <v>0</v>
      </c>
    </row>
    <row r="616" spans="1:53" ht="20.100000000000001" customHeight="1">
      <c r="A616" s="68"/>
      <c r="B616" s="69"/>
      <c r="C616" s="240" t="s">
        <v>827</v>
      </c>
      <c r="D616" s="240"/>
      <c r="E616" s="241"/>
      <c r="F616" s="70"/>
      <c r="G616" s="71"/>
      <c r="H616" s="71"/>
      <c r="I616" s="71"/>
      <c r="J616" s="240" t="s">
        <v>610</v>
      </c>
      <c r="K616" s="241"/>
      <c r="L616" s="49">
        <v>400000</v>
      </c>
      <c r="M616" s="49">
        <v>0</v>
      </c>
      <c r="N616" s="49"/>
      <c r="O616" s="49"/>
      <c r="P616" s="49"/>
      <c r="Q616" s="49">
        <f>SUM(N616:P616)</f>
        <v>0</v>
      </c>
      <c r="R616" s="72"/>
      <c r="S616" s="49">
        <f>M616-Q616</f>
        <v>0</v>
      </c>
      <c r="T616" s="49">
        <v>0</v>
      </c>
      <c r="U616" s="49">
        <f>T616+M616</f>
        <v>0</v>
      </c>
      <c r="V616" s="49">
        <f>T616+S616</f>
        <v>0</v>
      </c>
      <c r="W616" s="49"/>
      <c r="X616" s="49"/>
      <c r="Y616" s="49"/>
      <c r="Z616" s="49"/>
      <c r="AA616" s="49">
        <v>400000</v>
      </c>
      <c r="AB616" s="49">
        <v>400000</v>
      </c>
      <c r="AC616" s="49">
        <f t="shared" si="130"/>
        <v>0</v>
      </c>
      <c r="AD616" s="49">
        <f>AA616+T616+M616</f>
        <v>400000</v>
      </c>
      <c r="AE616" s="49"/>
      <c r="AF616" s="49"/>
      <c r="AG616" s="49"/>
      <c r="AH616" s="49"/>
      <c r="AI616" s="49"/>
      <c r="AJ616" s="49"/>
      <c r="AK616" s="49">
        <f>Z616+Y616+X616+W616+N616+AG616+AE616+AJ616+AI616+AH616</f>
        <v>0</v>
      </c>
      <c r="AL616" s="49">
        <f>AK616/AD616*100</f>
        <v>0</v>
      </c>
      <c r="AM616" s="49"/>
      <c r="AN616" s="42">
        <v>400000</v>
      </c>
      <c r="AO616" s="49"/>
      <c r="AP616" s="49"/>
      <c r="AQ616" s="49">
        <f>AK616+AM616+AN616+AO616+AP616</f>
        <v>400000</v>
      </c>
      <c r="AR616" s="49">
        <f>AQ616/AB616*100</f>
        <v>100</v>
      </c>
      <c r="AS616" s="49">
        <f t="shared" si="135"/>
        <v>0</v>
      </c>
      <c r="AT616" s="49">
        <v>3091500</v>
      </c>
      <c r="AU616" s="49">
        <f>AT616+U616</f>
        <v>3091500</v>
      </c>
      <c r="AV616" s="49">
        <f>AK616</f>
        <v>0</v>
      </c>
      <c r="AW616" s="72">
        <f>AV616/AU616*100</f>
        <v>0</v>
      </c>
      <c r="AX616" s="49">
        <f>AU616-AV616</f>
        <v>3091500</v>
      </c>
      <c r="AY616" s="49">
        <f t="shared" si="133"/>
        <v>0</v>
      </c>
      <c r="AZ616" s="73">
        <f t="shared" si="134"/>
        <v>400000</v>
      </c>
    </row>
    <row r="617" spans="1:53" ht="20.100000000000001" customHeight="1">
      <c r="A617" s="68"/>
      <c r="B617" s="69"/>
      <c r="C617" s="240" t="s">
        <v>828</v>
      </c>
      <c r="D617" s="240"/>
      <c r="E617" s="241"/>
      <c r="F617" s="70"/>
      <c r="G617" s="71"/>
      <c r="H617" s="71"/>
      <c r="I617" s="71"/>
      <c r="J617" s="240" t="s">
        <v>391</v>
      </c>
      <c r="K617" s="241"/>
      <c r="L617" s="49">
        <v>15500000</v>
      </c>
      <c r="M617" s="49">
        <v>0</v>
      </c>
      <c r="N617" s="49"/>
      <c r="O617" s="49"/>
      <c r="P617" s="49"/>
      <c r="Q617" s="49">
        <f>SUM(N617:P617)</f>
        <v>0</v>
      </c>
      <c r="R617" s="72"/>
      <c r="S617" s="49">
        <f>M617-Q617</f>
        <v>0</v>
      </c>
      <c r="T617" s="49">
        <v>0</v>
      </c>
      <c r="U617" s="49">
        <f>T617+M617</f>
        <v>0</v>
      </c>
      <c r="V617" s="49">
        <f>T617+S617</f>
        <v>0</v>
      </c>
      <c r="W617" s="49"/>
      <c r="X617" s="49"/>
      <c r="Y617" s="49"/>
      <c r="Z617" s="49"/>
      <c r="AA617" s="49">
        <v>15500000</v>
      </c>
      <c r="AB617" s="49">
        <v>15500000</v>
      </c>
      <c r="AC617" s="49">
        <f t="shared" si="130"/>
        <v>0</v>
      </c>
      <c r="AD617" s="49">
        <f>AA617+T617+M617</f>
        <v>15500000</v>
      </c>
      <c r="AE617" s="49"/>
      <c r="AF617" s="49"/>
      <c r="AG617" s="49"/>
      <c r="AH617" s="49"/>
      <c r="AI617" s="49"/>
      <c r="AJ617" s="49"/>
      <c r="AK617" s="49">
        <f>Z617+Y617+X617+W617+N617+AG617+AE617+AJ617+AI617+AH617</f>
        <v>0</v>
      </c>
      <c r="AL617" s="49">
        <f>AK617/AD617*100</f>
        <v>0</v>
      </c>
      <c r="AM617" s="48"/>
      <c r="AN617" s="49"/>
      <c r="AO617" s="49"/>
      <c r="AP617" s="49"/>
      <c r="AQ617" s="49">
        <f>AK617+AM617+AN617+AO617+AP617</f>
        <v>0</v>
      </c>
      <c r="AR617" s="49">
        <f>AQ617/AB617*100</f>
        <v>0</v>
      </c>
      <c r="AS617" s="49">
        <f t="shared" si="135"/>
        <v>15500000</v>
      </c>
      <c r="AT617" s="49">
        <v>3091500</v>
      </c>
      <c r="AU617" s="49">
        <f>AT617+U617</f>
        <v>3091500</v>
      </c>
      <c r="AV617" s="49">
        <f>AK617</f>
        <v>0</v>
      </c>
      <c r="AW617" s="72">
        <f>AV617/AU617*100</f>
        <v>0</v>
      </c>
      <c r="AX617" s="49">
        <f>AU617-AV617</f>
        <v>3091500</v>
      </c>
      <c r="AY617" s="49">
        <f t="shared" si="133"/>
        <v>100</v>
      </c>
      <c r="AZ617" s="73">
        <f t="shared" si="134"/>
        <v>0</v>
      </c>
      <c r="BA617" s="29">
        <f>AS617</f>
        <v>15500000</v>
      </c>
    </row>
    <row r="618" spans="1:53" ht="20.100000000000001" customHeight="1">
      <c r="A618" s="68"/>
      <c r="B618" s="69"/>
      <c r="C618" s="240" t="s">
        <v>829</v>
      </c>
      <c r="D618" s="240"/>
      <c r="E618" s="241"/>
      <c r="F618" s="70"/>
      <c r="G618" s="71"/>
      <c r="H618" s="71"/>
      <c r="I618" s="240" t="s">
        <v>163</v>
      </c>
      <c r="J618" s="240"/>
      <c r="K618" s="241"/>
      <c r="L618" s="49"/>
      <c r="M618" s="49"/>
      <c r="N618" s="49"/>
      <c r="O618" s="49"/>
      <c r="P618" s="49"/>
      <c r="Q618" s="49"/>
      <c r="R618" s="72"/>
      <c r="S618" s="49"/>
      <c r="T618" s="49"/>
      <c r="U618" s="49"/>
      <c r="V618" s="49"/>
      <c r="W618" s="49"/>
      <c r="X618" s="49"/>
      <c r="Y618" s="49"/>
      <c r="Z618" s="49"/>
      <c r="AA618" s="49"/>
      <c r="AB618" s="49"/>
      <c r="AC618" s="49">
        <f t="shared" si="130"/>
        <v>0</v>
      </c>
      <c r="AD618" s="49"/>
      <c r="AE618" s="49"/>
      <c r="AF618" s="49"/>
      <c r="AG618" s="49"/>
      <c r="AH618" s="49"/>
      <c r="AI618" s="49"/>
      <c r="AJ618" s="49"/>
      <c r="AK618" s="49"/>
      <c r="AL618" s="49"/>
      <c r="AM618" s="49"/>
      <c r="AN618" s="49"/>
      <c r="AO618" s="49"/>
      <c r="AP618" s="49"/>
      <c r="AQ618" s="49"/>
      <c r="AR618" s="49"/>
      <c r="AS618" s="49"/>
      <c r="AT618" s="49"/>
      <c r="AU618" s="49"/>
      <c r="AV618" s="49"/>
      <c r="AW618" s="49"/>
      <c r="AX618" s="49"/>
      <c r="AY618" s="49"/>
      <c r="AZ618" s="73">
        <f t="shared" si="134"/>
        <v>0</v>
      </c>
    </row>
    <row r="619" spans="1:53" ht="20.100000000000001" customHeight="1">
      <c r="A619" s="68"/>
      <c r="B619" s="69"/>
      <c r="C619" s="240" t="s">
        <v>830</v>
      </c>
      <c r="D619" s="240"/>
      <c r="E619" s="241"/>
      <c r="F619" s="70"/>
      <c r="G619" s="71"/>
      <c r="H619" s="71"/>
      <c r="I619" s="71"/>
      <c r="J619" s="240" t="s">
        <v>447</v>
      </c>
      <c r="K619" s="241"/>
      <c r="L619" s="49">
        <v>22500000</v>
      </c>
      <c r="M619" s="49">
        <v>0</v>
      </c>
      <c r="N619" s="49"/>
      <c r="O619" s="49"/>
      <c r="P619" s="49"/>
      <c r="Q619" s="49">
        <f>SUM(N619:P619)</f>
        <v>0</v>
      </c>
      <c r="R619" s="72"/>
      <c r="S619" s="49">
        <f>M619-Q619</f>
        <v>0</v>
      </c>
      <c r="T619" s="49">
        <v>22500000</v>
      </c>
      <c r="U619" s="49">
        <f>T619+M619</f>
        <v>22500000</v>
      </c>
      <c r="V619" s="49">
        <f>T619+S619</f>
        <v>22500000</v>
      </c>
      <c r="W619" s="49"/>
      <c r="X619" s="49"/>
      <c r="Y619" s="49"/>
      <c r="Z619" s="49"/>
      <c r="AA619" s="49">
        <v>0</v>
      </c>
      <c r="AB619" s="49">
        <v>22500000</v>
      </c>
      <c r="AC619" s="49">
        <f t="shared" si="130"/>
        <v>0</v>
      </c>
      <c r="AD619" s="49">
        <f>AA619+T619+M619</f>
        <v>22500000</v>
      </c>
      <c r="AE619" s="49"/>
      <c r="AF619" s="49"/>
      <c r="AG619" s="49">
        <v>22500000</v>
      </c>
      <c r="AH619" s="49"/>
      <c r="AI619" s="49"/>
      <c r="AJ619" s="49"/>
      <c r="AK619" s="49">
        <f>Z619+Y619+X619+W619+N619+AG619+AE619+AJ619+AI619+AH619</f>
        <v>22500000</v>
      </c>
      <c r="AL619" s="49">
        <f>AK619/AD619*100</f>
        <v>100</v>
      </c>
      <c r="AM619" s="49"/>
      <c r="AN619" s="49"/>
      <c r="AO619" s="49"/>
      <c r="AP619" s="49"/>
      <c r="AQ619" s="49">
        <f>AK619+AM619+AN619+AO619+AP619</f>
        <v>22500000</v>
      </c>
      <c r="AR619" s="49">
        <f>AQ619/AB619*100</f>
        <v>100</v>
      </c>
      <c r="AS619" s="49">
        <f t="shared" si="135"/>
        <v>0</v>
      </c>
      <c r="AT619" s="49">
        <v>3091500</v>
      </c>
      <c r="AU619" s="49">
        <f>AT619+U619</f>
        <v>25591500</v>
      </c>
      <c r="AV619" s="49">
        <f>AK619</f>
        <v>22500000</v>
      </c>
      <c r="AW619" s="72">
        <f>AV619/AU619*100</f>
        <v>87.919817126780373</v>
      </c>
      <c r="AX619" s="49">
        <f>AU619-AV619</f>
        <v>3091500</v>
      </c>
      <c r="AY619" s="49">
        <f t="shared" si="133"/>
        <v>0</v>
      </c>
      <c r="AZ619" s="73">
        <f t="shared" si="134"/>
        <v>22500000</v>
      </c>
    </row>
    <row r="620" spans="1:53" ht="20.100000000000001" customHeight="1">
      <c r="A620" s="68"/>
      <c r="B620" s="69"/>
      <c r="C620" s="240" t="s">
        <v>831</v>
      </c>
      <c r="D620" s="240"/>
      <c r="E620" s="241"/>
      <c r="F620" s="70"/>
      <c r="G620" s="71"/>
      <c r="H620" s="71"/>
      <c r="I620" s="71"/>
      <c r="J620" s="240" t="s">
        <v>349</v>
      </c>
      <c r="K620" s="241"/>
      <c r="L620" s="49">
        <v>3250000</v>
      </c>
      <c r="M620" s="49">
        <v>0</v>
      </c>
      <c r="N620" s="49"/>
      <c r="O620" s="49"/>
      <c r="P620" s="49"/>
      <c r="Q620" s="49">
        <f>SUM(N620:P620)</f>
        <v>0</v>
      </c>
      <c r="R620" s="72"/>
      <c r="S620" s="49">
        <f>M620-Q620</f>
        <v>0</v>
      </c>
      <c r="T620" s="49">
        <v>0</v>
      </c>
      <c r="U620" s="49">
        <f>T620+M620</f>
        <v>0</v>
      </c>
      <c r="V620" s="49">
        <f>T620+S620</f>
        <v>0</v>
      </c>
      <c r="W620" s="49"/>
      <c r="X620" s="49"/>
      <c r="Y620" s="49"/>
      <c r="Z620" s="49"/>
      <c r="AA620" s="49">
        <v>250000</v>
      </c>
      <c r="AB620" s="49">
        <v>3250000</v>
      </c>
      <c r="AC620" s="49">
        <f t="shared" si="130"/>
        <v>0</v>
      </c>
      <c r="AD620" s="49">
        <f>AA620+T620+M620</f>
        <v>250000</v>
      </c>
      <c r="AE620" s="49"/>
      <c r="AF620" s="49"/>
      <c r="AG620" s="49"/>
      <c r="AH620" s="49"/>
      <c r="AI620" s="49"/>
      <c r="AJ620" s="49"/>
      <c r="AK620" s="49">
        <f>Z620+Y620+X620+W620+N620+AG620+AE620+AJ620+AI620+AH620</f>
        <v>0</v>
      </c>
      <c r="AL620" s="49">
        <f>AK620/AD620*100</f>
        <v>0</v>
      </c>
      <c r="AM620" s="49"/>
      <c r="AN620" s="42">
        <v>3250000</v>
      </c>
      <c r="AO620" s="49"/>
      <c r="AP620" s="49"/>
      <c r="AQ620" s="49">
        <f>AK620+AM620+AN620+AO620+AP620</f>
        <v>3250000</v>
      </c>
      <c r="AR620" s="49">
        <f>AQ620/AB620*100</f>
        <v>100</v>
      </c>
      <c r="AS620" s="49">
        <f t="shared" si="135"/>
        <v>0</v>
      </c>
      <c r="AT620" s="49">
        <v>3091500</v>
      </c>
      <c r="AU620" s="49">
        <f>AT620+U620</f>
        <v>3091500</v>
      </c>
      <c r="AV620" s="49">
        <f>AK620</f>
        <v>0</v>
      </c>
      <c r="AW620" s="72">
        <f>AV620/AU620*100</f>
        <v>0</v>
      </c>
      <c r="AX620" s="49">
        <f>AU620-AV620</f>
        <v>3091500</v>
      </c>
      <c r="AY620" s="49">
        <f t="shared" si="133"/>
        <v>0</v>
      </c>
      <c r="AZ620" s="73">
        <f t="shared" si="134"/>
        <v>3250000</v>
      </c>
    </row>
    <row r="621" spans="1:53" ht="20.100000000000001" customHeight="1">
      <c r="A621" s="68"/>
      <c r="B621" s="69"/>
      <c r="C621" s="240" t="s">
        <v>832</v>
      </c>
      <c r="D621" s="240"/>
      <c r="E621" s="241"/>
      <c r="F621" s="70"/>
      <c r="G621" s="71"/>
      <c r="H621" s="71"/>
      <c r="I621" s="71"/>
      <c r="J621" s="240" t="s">
        <v>352</v>
      </c>
      <c r="K621" s="241"/>
      <c r="L621" s="49">
        <v>12800000</v>
      </c>
      <c r="M621" s="49">
        <v>0</v>
      </c>
      <c r="N621" s="49"/>
      <c r="O621" s="49"/>
      <c r="P621" s="49"/>
      <c r="Q621" s="49">
        <f>SUM(N621:P621)</f>
        <v>0</v>
      </c>
      <c r="R621" s="72"/>
      <c r="S621" s="49">
        <f>M621-Q621</f>
        <v>0</v>
      </c>
      <c r="T621" s="49">
        <v>0</v>
      </c>
      <c r="U621" s="49">
        <f>T621+M621</f>
        <v>0</v>
      </c>
      <c r="V621" s="49">
        <f>T621+S621</f>
        <v>0</v>
      </c>
      <c r="W621" s="49"/>
      <c r="X621" s="49"/>
      <c r="Y621" s="49"/>
      <c r="Z621" s="49"/>
      <c r="AA621" s="49">
        <v>12800000</v>
      </c>
      <c r="AB621" s="49">
        <v>12800000</v>
      </c>
      <c r="AC621" s="49">
        <f t="shared" si="130"/>
        <v>0</v>
      </c>
      <c r="AD621" s="49">
        <f>AA621+T621+M621</f>
        <v>12800000</v>
      </c>
      <c r="AE621" s="49"/>
      <c r="AF621" s="49"/>
      <c r="AG621" s="49"/>
      <c r="AH621" s="49"/>
      <c r="AI621" s="49"/>
      <c r="AJ621" s="49">
        <v>12800000</v>
      </c>
      <c r="AK621" s="49">
        <f>Z621+Y621+X621+W621+N621+AG621+AE621+AJ621+AI621+AH621</f>
        <v>12800000</v>
      </c>
      <c r="AL621" s="49">
        <f>AK621/AD621*100</f>
        <v>100</v>
      </c>
      <c r="AM621" s="49"/>
      <c r="AN621" s="49"/>
      <c r="AO621" s="49"/>
      <c r="AP621" s="49"/>
      <c r="AQ621" s="49">
        <f>AK621+AM621+AN621+AO621+AP621</f>
        <v>12800000</v>
      </c>
      <c r="AR621" s="49">
        <f>AQ621/AB621*100</f>
        <v>100</v>
      </c>
      <c r="AS621" s="49">
        <f t="shared" si="135"/>
        <v>0</v>
      </c>
      <c r="AT621" s="49">
        <v>3091500</v>
      </c>
      <c r="AU621" s="49">
        <f>AT621+U621</f>
        <v>3091500</v>
      </c>
      <c r="AV621" s="49">
        <f>AK621</f>
        <v>12800000</v>
      </c>
      <c r="AW621" s="72">
        <f>AV621/AU621*100</f>
        <v>414.03849264111273</v>
      </c>
      <c r="AX621" s="49">
        <f>AU621-AV621</f>
        <v>-9708500</v>
      </c>
      <c r="AY621" s="49">
        <f t="shared" si="133"/>
        <v>0</v>
      </c>
      <c r="AZ621" s="73">
        <f t="shared" si="134"/>
        <v>12800000</v>
      </c>
    </row>
    <row r="622" spans="1:53" ht="20.100000000000001" customHeight="1">
      <c r="A622" s="68"/>
      <c r="B622" s="69"/>
      <c r="C622" s="240" t="s">
        <v>833</v>
      </c>
      <c r="D622" s="240"/>
      <c r="E622" s="241"/>
      <c r="F622" s="70"/>
      <c r="G622" s="71"/>
      <c r="H622" s="71"/>
      <c r="I622" s="240" t="s">
        <v>151</v>
      </c>
      <c r="J622" s="240"/>
      <c r="K622" s="241"/>
      <c r="L622" s="49"/>
      <c r="M622" s="49"/>
      <c r="N622" s="49"/>
      <c r="O622" s="49"/>
      <c r="P622" s="49"/>
      <c r="Q622" s="49"/>
      <c r="R622" s="72"/>
      <c r="S622" s="49"/>
      <c r="T622" s="49"/>
      <c r="U622" s="49"/>
      <c r="V622" s="49"/>
      <c r="W622" s="49"/>
      <c r="X622" s="49"/>
      <c r="Y622" s="49"/>
      <c r="Z622" s="49"/>
      <c r="AA622" s="49"/>
      <c r="AB622" s="49"/>
      <c r="AC622" s="49">
        <f t="shared" si="130"/>
        <v>0</v>
      </c>
      <c r="AD622" s="49"/>
      <c r="AE622" s="49"/>
      <c r="AF622" s="49"/>
      <c r="AG622" s="49"/>
      <c r="AH622" s="49"/>
      <c r="AI622" s="49"/>
      <c r="AJ622" s="49"/>
      <c r="AK622" s="49"/>
      <c r="AL622" s="49"/>
      <c r="AM622" s="49"/>
      <c r="AN622" s="49"/>
      <c r="AO622" s="49"/>
      <c r="AP622" s="49"/>
      <c r="AQ622" s="49"/>
      <c r="AR622" s="49"/>
      <c r="AS622" s="49"/>
      <c r="AT622" s="49"/>
      <c r="AU622" s="49"/>
      <c r="AV622" s="49"/>
      <c r="AW622" s="49"/>
      <c r="AX622" s="49"/>
      <c r="AY622" s="49"/>
      <c r="AZ622" s="73">
        <f t="shared" si="134"/>
        <v>0</v>
      </c>
    </row>
    <row r="623" spans="1:53" ht="20.100000000000001" customHeight="1">
      <c r="A623" s="68"/>
      <c r="B623" s="69"/>
      <c r="C623" s="240" t="s">
        <v>834</v>
      </c>
      <c r="D623" s="240"/>
      <c r="E623" s="241"/>
      <c r="F623" s="70"/>
      <c r="G623" s="71"/>
      <c r="H623" s="71"/>
      <c r="I623" s="71"/>
      <c r="J623" s="240" t="s">
        <v>155</v>
      </c>
      <c r="K623" s="241"/>
      <c r="L623" s="49">
        <v>700000</v>
      </c>
      <c r="M623" s="49">
        <v>0</v>
      </c>
      <c r="N623" s="49"/>
      <c r="O623" s="49"/>
      <c r="P623" s="49"/>
      <c r="Q623" s="49">
        <f>SUM(N623:P623)</f>
        <v>0</v>
      </c>
      <c r="R623" s="72"/>
      <c r="S623" s="49">
        <f>M623-Q623</f>
        <v>0</v>
      </c>
      <c r="T623" s="49">
        <v>0</v>
      </c>
      <c r="U623" s="49">
        <f>T623+M623</f>
        <v>0</v>
      </c>
      <c r="V623" s="49">
        <f>T623+S623</f>
        <v>0</v>
      </c>
      <c r="W623" s="49"/>
      <c r="X623" s="49"/>
      <c r="Y623" s="49"/>
      <c r="Z623" s="49"/>
      <c r="AA623" s="49">
        <v>700000</v>
      </c>
      <c r="AB623" s="49">
        <v>700000</v>
      </c>
      <c r="AC623" s="49">
        <f t="shared" si="130"/>
        <v>0</v>
      </c>
      <c r="AD623" s="49">
        <f>AA623+T623+M623</f>
        <v>700000</v>
      </c>
      <c r="AE623" s="49"/>
      <c r="AF623" s="49"/>
      <c r="AG623" s="49"/>
      <c r="AH623" s="49"/>
      <c r="AI623" s="49"/>
      <c r="AJ623" s="49"/>
      <c r="AK623" s="49">
        <f>Z623+Y623+X623+W623+N623+AG623+AE623+AJ623+AI623+AH623</f>
        <v>0</v>
      </c>
      <c r="AL623" s="49">
        <f>AK623/AD623*100</f>
        <v>0</v>
      </c>
      <c r="AM623" s="49"/>
      <c r="AN623" s="42">
        <v>700000</v>
      </c>
      <c r="AO623" s="49"/>
      <c r="AP623" s="49"/>
      <c r="AQ623" s="49">
        <f>AK623+AM623+AN623+AO623+AP623</f>
        <v>700000</v>
      </c>
      <c r="AR623" s="49">
        <f>AQ623/AB623*100</f>
        <v>100</v>
      </c>
      <c r="AS623" s="49">
        <f t="shared" si="135"/>
        <v>0</v>
      </c>
      <c r="AT623" s="49">
        <v>3091500</v>
      </c>
      <c r="AU623" s="49">
        <f>AT623+U623</f>
        <v>3091500</v>
      </c>
      <c r="AV623" s="49">
        <f>AK623</f>
        <v>0</v>
      </c>
      <c r="AW623" s="72">
        <f>AV623/AU623*100</f>
        <v>0</v>
      </c>
      <c r="AX623" s="49">
        <f>AU623-AV623</f>
        <v>3091500</v>
      </c>
      <c r="AY623" s="49">
        <f t="shared" si="133"/>
        <v>0</v>
      </c>
      <c r="AZ623" s="73">
        <f t="shared" si="134"/>
        <v>700000</v>
      </c>
    </row>
    <row r="624" spans="1:53" ht="20.100000000000001" customHeight="1">
      <c r="A624" s="68"/>
      <c r="B624" s="69"/>
      <c r="C624" s="240" t="s">
        <v>835</v>
      </c>
      <c r="D624" s="240"/>
      <c r="E624" s="241"/>
      <c r="F624" s="70"/>
      <c r="G624" s="71"/>
      <c r="H624" s="71"/>
      <c r="I624" s="240" t="s">
        <v>712</v>
      </c>
      <c r="J624" s="240"/>
      <c r="K624" s="241"/>
      <c r="L624" s="49"/>
      <c r="M624" s="49"/>
      <c r="N624" s="49"/>
      <c r="O624" s="49"/>
      <c r="P624" s="49"/>
      <c r="Q624" s="49"/>
      <c r="R624" s="72"/>
      <c r="S624" s="49"/>
      <c r="T624" s="49"/>
      <c r="U624" s="49"/>
      <c r="V624" s="49"/>
      <c r="W624" s="49"/>
      <c r="X624" s="49"/>
      <c r="Y624" s="49"/>
      <c r="Z624" s="49"/>
      <c r="AA624" s="49"/>
      <c r="AB624" s="49"/>
      <c r="AC624" s="49">
        <f t="shared" si="130"/>
        <v>0</v>
      </c>
      <c r="AD624" s="49"/>
      <c r="AE624" s="49"/>
      <c r="AF624" s="49"/>
      <c r="AG624" s="49"/>
      <c r="AH624" s="49"/>
      <c r="AI624" s="49"/>
      <c r="AJ624" s="49"/>
      <c r="AK624" s="49"/>
      <c r="AL624" s="49"/>
      <c r="AM624" s="49"/>
      <c r="AN624" s="49"/>
      <c r="AO624" s="49"/>
      <c r="AP624" s="49"/>
      <c r="AQ624" s="49"/>
      <c r="AR624" s="49"/>
      <c r="AS624" s="49"/>
      <c r="AT624" s="49"/>
      <c r="AU624" s="49"/>
      <c r="AV624" s="49"/>
      <c r="AW624" s="49"/>
      <c r="AX624" s="49"/>
      <c r="AY624" s="49"/>
      <c r="AZ624" s="73">
        <f t="shared" si="134"/>
        <v>0</v>
      </c>
    </row>
    <row r="625" spans="1:54" ht="20.100000000000001" customHeight="1">
      <c r="A625" s="68"/>
      <c r="B625" s="69"/>
      <c r="C625" s="240" t="s">
        <v>836</v>
      </c>
      <c r="D625" s="240"/>
      <c r="E625" s="241"/>
      <c r="F625" s="70"/>
      <c r="G625" s="71"/>
      <c r="H625" s="71"/>
      <c r="I625" s="71"/>
      <c r="J625" s="240" t="s">
        <v>714</v>
      </c>
      <c r="K625" s="241"/>
      <c r="L625" s="49">
        <v>27000000</v>
      </c>
      <c r="M625" s="49">
        <v>0</v>
      </c>
      <c r="N625" s="49"/>
      <c r="O625" s="49"/>
      <c r="P625" s="49"/>
      <c r="Q625" s="49">
        <f>SUM(N625:P625)</f>
        <v>0</v>
      </c>
      <c r="R625" s="72"/>
      <c r="S625" s="49">
        <f>M625-Q625</f>
        <v>0</v>
      </c>
      <c r="T625" s="49">
        <v>0</v>
      </c>
      <c r="U625" s="49">
        <f>T625+M625</f>
        <v>0</v>
      </c>
      <c r="V625" s="49">
        <f>T625+S625</f>
        <v>0</v>
      </c>
      <c r="W625" s="49"/>
      <c r="X625" s="49"/>
      <c r="Y625" s="49"/>
      <c r="Z625" s="49"/>
      <c r="AA625" s="49">
        <v>0</v>
      </c>
      <c r="AB625" s="49">
        <v>27000000</v>
      </c>
      <c r="AC625" s="49">
        <f t="shared" si="130"/>
        <v>0</v>
      </c>
      <c r="AD625" s="49">
        <f>AA625+T625+M625</f>
        <v>0</v>
      </c>
      <c r="AE625" s="49"/>
      <c r="AF625" s="49"/>
      <c r="AG625" s="49"/>
      <c r="AH625" s="49"/>
      <c r="AI625" s="49"/>
      <c r="AJ625" s="49"/>
      <c r="AK625" s="49">
        <f>Z625+Y625+X625+W625+N625+AG625+AE625+AJ625+AI625+AH625</f>
        <v>0</v>
      </c>
      <c r="AL625" s="49" t="e">
        <f>AK625/AD625*100</f>
        <v>#DIV/0!</v>
      </c>
      <c r="AM625" s="42">
        <v>21210000</v>
      </c>
      <c r="AN625" s="49"/>
      <c r="AO625" s="49"/>
      <c r="AP625" s="49"/>
      <c r="AQ625" s="49">
        <f>AK625+AM625+AN625+AO625+AP625</f>
        <v>21210000</v>
      </c>
      <c r="AR625" s="49">
        <f>AQ625/AB625*100</f>
        <v>78.555555555555557</v>
      </c>
      <c r="AS625" s="49">
        <f t="shared" si="135"/>
        <v>5790000</v>
      </c>
      <c r="AT625" s="49">
        <v>3091500</v>
      </c>
      <c r="AU625" s="49">
        <f>AT625+U625</f>
        <v>3091500</v>
      </c>
      <c r="AV625" s="49">
        <f>AK625</f>
        <v>0</v>
      </c>
      <c r="AW625" s="72">
        <f>AV625/AU625*100</f>
        <v>0</v>
      </c>
      <c r="AX625" s="49">
        <f>AU625-AV625</f>
        <v>3091500</v>
      </c>
      <c r="AY625" s="49">
        <f t="shared" si="133"/>
        <v>21.444444444444443</v>
      </c>
      <c r="AZ625" s="73">
        <f t="shared" si="134"/>
        <v>21210000</v>
      </c>
      <c r="BA625" s="29">
        <f>AS625</f>
        <v>5790000</v>
      </c>
    </row>
    <row r="626" spans="1:54" ht="20.100000000000001" customHeight="1">
      <c r="A626" s="68"/>
      <c r="B626" s="69"/>
      <c r="C626" s="240" t="s">
        <v>837</v>
      </c>
      <c r="D626" s="240"/>
      <c r="E626" s="241"/>
      <c r="F626" s="70"/>
      <c r="G626" s="71"/>
      <c r="H626" s="71"/>
      <c r="I626" s="240" t="s">
        <v>328</v>
      </c>
      <c r="J626" s="240"/>
      <c r="K626" s="241"/>
      <c r="L626" s="49"/>
      <c r="M626" s="49"/>
      <c r="N626" s="49"/>
      <c r="O626" s="49"/>
      <c r="P626" s="49"/>
      <c r="Q626" s="49"/>
      <c r="R626" s="72"/>
      <c r="S626" s="49"/>
      <c r="T626" s="49"/>
      <c r="U626" s="49"/>
      <c r="V626" s="49"/>
      <c r="W626" s="49"/>
      <c r="X626" s="49"/>
      <c r="Y626" s="49"/>
      <c r="Z626" s="49"/>
      <c r="AA626" s="49"/>
      <c r="AB626" s="49"/>
      <c r="AC626" s="49">
        <f t="shared" si="130"/>
        <v>0</v>
      </c>
      <c r="AD626" s="49"/>
      <c r="AE626" s="49"/>
      <c r="AF626" s="49"/>
      <c r="AG626" s="49"/>
      <c r="AH626" s="49"/>
      <c r="AI626" s="49"/>
      <c r="AJ626" s="49"/>
      <c r="AK626" s="49"/>
      <c r="AL626" s="49"/>
      <c r="AM626" s="49"/>
      <c r="AN626" s="49"/>
      <c r="AO626" s="49"/>
      <c r="AP626" s="49"/>
      <c r="AQ626" s="49"/>
      <c r="AR626" s="49"/>
      <c r="AS626" s="49"/>
      <c r="AT626" s="49"/>
      <c r="AU626" s="49"/>
      <c r="AV626" s="49"/>
      <c r="AW626" s="49"/>
      <c r="AX626" s="49"/>
      <c r="AY626" s="49"/>
      <c r="AZ626" s="73">
        <f t="shared" si="134"/>
        <v>0</v>
      </c>
    </row>
    <row r="627" spans="1:54" ht="20.100000000000001" customHeight="1">
      <c r="A627" s="68"/>
      <c r="B627" s="69"/>
      <c r="C627" s="240" t="s">
        <v>838</v>
      </c>
      <c r="D627" s="240"/>
      <c r="E627" s="241"/>
      <c r="F627" s="70"/>
      <c r="G627" s="71"/>
      <c r="H627" s="71"/>
      <c r="I627" s="71"/>
      <c r="J627" s="240" t="s">
        <v>330</v>
      </c>
      <c r="K627" s="241"/>
      <c r="L627" s="49">
        <v>7000000</v>
      </c>
      <c r="M627" s="49">
        <v>0</v>
      </c>
      <c r="N627" s="49"/>
      <c r="O627" s="49"/>
      <c r="P627" s="49"/>
      <c r="Q627" s="49">
        <f>SUM(N627:P627)</f>
        <v>0</v>
      </c>
      <c r="R627" s="72"/>
      <c r="S627" s="49">
        <f>M627-Q627</f>
        <v>0</v>
      </c>
      <c r="T627" s="49">
        <v>0</v>
      </c>
      <c r="U627" s="49">
        <f>T627+M627</f>
        <v>0</v>
      </c>
      <c r="V627" s="49">
        <f>T627+S627</f>
        <v>0</v>
      </c>
      <c r="W627" s="49"/>
      <c r="X627" s="49"/>
      <c r="Y627" s="49"/>
      <c r="Z627" s="49"/>
      <c r="AA627" s="49">
        <v>0</v>
      </c>
      <c r="AB627" s="49">
        <v>7000000</v>
      </c>
      <c r="AC627" s="49">
        <f t="shared" si="130"/>
        <v>0</v>
      </c>
      <c r="AD627" s="49">
        <f>AA627+T627+M627</f>
        <v>0</v>
      </c>
      <c r="AE627" s="49"/>
      <c r="AF627" s="49"/>
      <c r="AG627" s="49"/>
      <c r="AH627" s="49"/>
      <c r="AI627" s="49"/>
      <c r="AJ627" s="49"/>
      <c r="AK627" s="49">
        <f>Z627+Y627+X627+W627+N627+AG627+AE627+AJ627+AI627+AH627</f>
        <v>0</v>
      </c>
      <c r="AL627" s="49" t="e">
        <f>AK627/AD627*100</f>
        <v>#DIV/0!</v>
      </c>
      <c r="AM627" s="49"/>
      <c r="AN627" s="42">
        <v>7000000</v>
      </c>
      <c r="AO627" s="49"/>
      <c r="AP627" s="49"/>
      <c r="AQ627" s="49">
        <f>AK627+AM627+AN627+AO627+AP627</f>
        <v>7000000</v>
      </c>
      <c r="AR627" s="49">
        <f>AQ627/AB627*100</f>
        <v>100</v>
      </c>
      <c r="AS627" s="49">
        <f t="shared" si="135"/>
        <v>0</v>
      </c>
      <c r="AT627" s="49">
        <v>3091500</v>
      </c>
      <c r="AU627" s="49">
        <f>AT627+U627</f>
        <v>3091500</v>
      </c>
      <c r="AV627" s="49">
        <f>AK627</f>
        <v>0</v>
      </c>
      <c r="AW627" s="72">
        <f>AV627/AU627*100</f>
        <v>0</v>
      </c>
      <c r="AX627" s="49">
        <f>AU627-AV627</f>
        <v>3091500</v>
      </c>
      <c r="AY627" s="49">
        <f t="shared" si="133"/>
        <v>0</v>
      </c>
      <c r="AZ627" s="73">
        <f t="shared" si="134"/>
        <v>7000000</v>
      </c>
    </row>
    <row r="628" spans="1:54" ht="20.100000000000001" customHeight="1">
      <c r="A628" s="68"/>
      <c r="B628" s="69"/>
      <c r="C628" s="240" t="s">
        <v>839</v>
      </c>
      <c r="D628" s="240"/>
      <c r="E628" s="241"/>
      <c r="F628" s="70"/>
      <c r="G628" s="71"/>
      <c r="H628" s="71"/>
      <c r="I628" s="240" t="s">
        <v>193</v>
      </c>
      <c r="J628" s="240"/>
      <c r="K628" s="241"/>
      <c r="L628" s="49"/>
      <c r="M628" s="49"/>
      <c r="N628" s="49"/>
      <c r="O628" s="49"/>
      <c r="P628" s="49"/>
      <c r="Q628" s="49"/>
      <c r="R628" s="72"/>
      <c r="S628" s="49"/>
      <c r="T628" s="49"/>
      <c r="U628" s="49"/>
      <c r="V628" s="49"/>
      <c r="W628" s="49"/>
      <c r="X628" s="49"/>
      <c r="Y628" s="49"/>
      <c r="Z628" s="49"/>
      <c r="AA628" s="49"/>
      <c r="AB628" s="49"/>
      <c r="AC628" s="49">
        <f t="shared" ref="AC628:AC677" si="136">AB628-L628</f>
        <v>0</v>
      </c>
      <c r="AD628" s="49"/>
      <c r="AE628" s="49"/>
      <c r="AF628" s="49"/>
      <c r="AG628" s="49"/>
      <c r="AH628" s="49"/>
      <c r="AI628" s="49"/>
      <c r="AJ628" s="49"/>
      <c r="AK628" s="49"/>
      <c r="AL628" s="49"/>
      <c r="AM628" s="49"/>
      <c r="AN628" s="49"/>
      <c r="AO628" s="49"/>
      <c r="AP628" s="49"/>
      <c r="AQ628" s="49"/>
      <c r="AR628" s="49"/>
      <c r="AS628" s="49"/>
      <c r="AT628" s="49"/>
      <c r="AU628" s="49"/>
      <c r="AV628" s="49"/>
      <c r="AW628" s="49"/>
      <c r="AX628" s="49"/>
      <c r="AY628" s="49"/>
      <c r="AZ628" s="73">
        <f t="shared" si="134"/>
        <v>0</v>
      </c>
    </row>
    <row r="629" spans="1:54" ht="20.100000000000001" customHeight="1">
      <c r="A629" s="68"/>
      <c r="B629" s="69"/>
      <c r="C629" s="240" t="s">
        <v>840</v>
      </c>
      <c r="D629" s="240"/>
      <c r="E629" s="241"/>
      <c r="F629" s="70"/>
      <c r="G629" s="71"/>
      <c r="H629" s="71"/>
      <c r="I629" s="71"/>
      <c r="J629" s="240" t="s">
        <v>195</v>
      </c>
      <c r="K629" s="241"/>
      <c r="L629" s="49">
        <v>16800000</v>
      </c>
      <c r="M629" s="49">
        <v>0</v>
      </c>
      <c r="N629" s="49"/>
      <c r="O629" s="49"/>
      <c r="P629" s="49"/>
      <c r="Q629" s="49">
        <f>SUM(N629:P629)</f>
        <v>0</v>
      </c>
      <c r="R629" s="72"/>
      <c r="S629" s="49">
        <f>M629-Q629</f>
        <v>0</v>
      </c>
      <c r="T629" s="49">
        <v>560000</v>
      </c>
      <c r="U629" s="49">
        <f>T629+M629</f>
        <v>560000</v>
      </c>
      <c r="V629" s="49">
        <f>T629+S629</f>
        <v>560000</v>
      </c>
      <c r="W629" s="49"/>
      <c r="X629" s="49"/>
      <c r="Y629" s="49"/>
      <c r="Z629" s="49"/>
      <c r="AA629" s="49">
        <v>15680000</v>
      </c>
      <c r="AB629" s="49">
        <v>16800000</v>
      </c>
      <c r="AC629" s="49">
        <f t="shared" si="136"/>
        <v>0</v>
      </c>
      <c r="AD629" s="49">
        <f>AA629+T629+M629</f>
        <v>16240000</v>
      </c>
      <c r="AE629" s="49"/>
      <c r="AF629" s="49"/>
      <c r="AG629" s="49">
        <v>560000</v>
      </c>
      <c r="AH629" s="49"/>
      <c r="AI629" s="49"/>
      <c r="AJ629" s="49">
        <v>14700000</v>
      </c>
      <c r="AK629" s="49">
        <f>Z629+Y629+X629+W629+N629+AG629+AE629+AJ629+AI629+AH629</f>
        <v>15260000</v>
      </c>
      <c r="AL629" s="49">
        <f>AK629/AD629*100</f>
        <v>93.965517241379317</v>
      </c>
      <c r="AM629" s="49"/>
      <c r="AN629" s="42">
        <v>1540000</v>
      </c>
      <c r="AO629" s="49"/>
      <c r="AP629" s="49"/>
      <c r="AQ629" s="49">
        <f>AK629+AM629+AN629+AO629+AP629</f>
        <v>16800000</v>
      </c>
      <c r="AR629" s="49">
        <f>AQ629/AB629*100</f>
        <v>100</v>
      </c>
      <c r="AS629" s="49">
        <f t="shared" si="135"/>
        <v>0</v>
      </c>
      <c r="AT629" s="49">
        <v>3091500</v>
      </c>
      <c r="AU629" s="49">
        <f>AT629+U629</f>
        <v>3651500</v>
      </c>
      <c r="AV629" s="49">
        <f>AK629</f>
        <v>15260000</v>
      </c>
      <c r="AW629" s="72">
        <f>AV629/AU629*100</f>
        <v>417.91044776119401</v>
      </c>
      <c r="AX629" s="49">
        <f>AU629-AV629</f>
        <v>-11608500</v>
      </c>
      <c r="AY629" s="49">
        <f t="shared" si="133"/>
        <v>0</v>
      </c>
      <c r="AZ629" s="73">
        <f t="shared" si="134"/>
        <v>16800000</v>
      </c>
    </row>
    <row r="630" spans="1:54" ht="20.100000000000001" customHeight="1">
      <c r="A630" s="68"/>
      <c r="B630" s="69"/>
      <c r="C630" s="240" t="s">
        <v>841</v>
      </c>
      <c r="D630" s="240"/>
      <c r="E630" s="241"/>
      <c r="F630" s="70"/>
      <c r="G630" s="71"/>
      <c r="H630" s="71"/>
      <c r="I630" s="240" t="s">
        <v>157</v>
      </c>
      <c r="J630" s="240"/>
      <c r="K630" s="241"/>
      <c r="L630" s="49"/>
      <c r="M630" s="49"/>
      <c r="N630" s="49"/>
      <c r="O630" s="49"/>
      <c r="P630" s="49"/>
      <c r="Q630" s="49"/>
      <c r="R630" s="72"/>
      <c r="S630" s="49"/>
      <c r="T630" s="49"/>
      <c r="U630" s="49"/>
      <c r="V630" s="49"/>
      <c r="W630" s="49"/>
      <c r="X630" s="49"/>
      <c r="Y630" s="49"/>
      <c r="Z630" s="49"/>
      <c r="AA630" s="49"/>
      <c r="AB630" s="49"/>
      <c r="AC630" s="49">
        <f t="shared" si="136"/>
        <v>0</v>
      </c>
      <c r="AD630" s="49"/>
      <c r="AE630" s="49"/>
      <c r="AF630" s="49"/>
      <c r="AG630" s="49"/>
      <c r="AH630" s="49"/>
      <c r="AI630" s="49"/>
      <c r="AJ630" s="49"/>
      <c r="AK630" s="49"/>
      <c r="AL630" s="49"/>
      <c r="AM630" s="49"/>
      <c r="AN630" s="49"/>
      <c r="AO630" s="49"/>
      <c r="AP630" s="49"/>
      <c r="AQ630" s="49"/>
      <c r="AR630" s="49"/>
      <c r="AS630" s="49"/>
      <c r="AT630" s="49"/>
      <c r="AU630" s="49"/>
      <c r="AV630" s="49"/>
      <c r="AW630" s="49"/>
      <c r="AX630" s="49"/>
      <c r="AY630" s="49"/>
      <c r="AZ630" s="73">
        <f t="shared" si="134"/>
        <v>0</v>
      </c>
    </row>
    <row r="631" spans="1:54" ht="20.100000000000001" customHeight="1">
      <c r="A631" s="68"/>
      <c r="B631" s="69"/>
      <c r="C631" s="240" t="s">
        <v>842</v>
      </c>
      <c r="D631" s="240"/>
      <c r="E631" s="241"/>
      <c r="F631" s="70"/>
      <c r="G631" s="71"/>
      <c r="H631" s="71"/>
      <c r="I631" s="71"/>
      <c r="J631" s="240" t="s">
        <v>159</v>
      </c>
      <c r="K631" s="241"/>
      <c r="L631" s="49">
        <v>15400000</v>
      </c>
      <c r="M631" s="49">
        <v>0</v>
      </c>
      <c r="N631" s="49"/>
      <c r="O631" s="49"/>
      <c r="P631" s="49"/>
      <c r="Q631" s="49">
        <f>SUM(N631:P631)</f>
        <v>0</v>
      </c>
      <c r="R631" s="72"/>
      <c r="S631" s="49">
        <f>M631-Q631</f>
        <v>0</v>
      </c>
      <c r="T631" s="49">
        <v>2400000</v>
      </c>
      <c r="U631" s="49">
        <f>T631+M631</f>
        <v>2400000</v>
      </c>
      <c r="V631" s="49">
        <f>T631+S631</f>
        <v>2400000</v>
      </c>
      <c r="W631" s="49"/>
      <c r="X631" s="49"/>
      <c r="Y631" s="49"/>
      <c r="Z631" s="49"/>
      <c r="AA631" s="49">
        <v>13000000</v>
      </c>
      <c r="AB631" s="49">
        <v>15400000</v>
      </c>
      <c r="AC631" s="49">
        <f t="shared" si="136"/>
        <v>0</v>
      </c>
      <c r="AD631" s="49">
        <f>AA631+T631+M631</f>
        <v>15400000</v>
      </c>
      <c r="AE631" s="49"/>
      <c r="AF631" s="49"/>
      <c r="AG631" s="49"/>
      <c r="AH631" s="49"/>
      <c r="AI631" s="49"/>
      <c r="AJ631" s="49"/>
      <c r="AK631" s="49">
        <f>Z631+Y631+X631+W631+N631+AG631+AE631+AJ631+AI631+AH631</f>
        <v>0</v>
      </c>
      <c r="AL631" s="49">
        <f>AK631/AD631*100</f>
        <v>0</v>
      </c>
      <c r="AM631" s="49"/>
      <c r="AN631" s="42">
        <v>13370000</v>
      </c>
      <c r="AO631" s="49"/>
      <c r="AP631" s="49"/>
      <c r="AQ631" s="49">
        <f>AK631+AM631+AN631+AO631+AP631</f>
        <v>13370000</v>
      </c>
      <c r="AR631" s="49">
        <f>AQ631/AB631*100</f>
        <v>86.818181818181813</v>
      </c>
      <c r="AS631" s="49">
        <f t="shared" si="135"/>
        <v>2030000</v>
      </c>
      <c r="AT631" s="49">
        <v>3091500</v>
      </c>
      <c r="AU631" s="49">
        <f>AT631+U631</f>
        <v>5491500</v>
      </c>
      <c r="AV631" s="49">
        <f>AK631</f>
        <v>0</v>
      </c>
      <c r="AW631" s="72">
        <f>AV631/AU631*100</f>
        <v>0</v>
      </c>
      <c r="AX631" s="49">
        <f>AU631-AV631</f>
        <v>5491500</v>
      </c>
      <c r="AY631" s="49">
        <f t="shared" si="133"/>
        <v>13.18181818181818</v>
      </c>
      <c r="AZ631" s="73">
        <f t="shared" si="134"/>
        <v>13370000</v>
      </c>
    </row>
    <row r="632" spans="1:54" ht="20.100000000000001" customHeight="1">
      <c r="A632" s="68"/>
      <c r="B632" s="69"/>
      <c r="C632" s="240" t="s">
        <v>843</v>
      </c>
      <c r="D632" s="240"/>
      <c r="E632" s="241"/>
      <c r="F632" s="70"/>
      <c r="G632" s="71"/>
      <c r="H632" s="71"/>
      <c r="I632" s="71"/>
      <c r="J632" s="240" t="s">
        <v>207</v>
      </c>
      <c r="K632" s="241"/>
      <c r="L632" s="49">
        <v>44960000</v>
      </c>
      <c r="M632" s="49">
        <v>0</v>
      </c>
      <c r="N632" s="49"/>
      <c r="O632" s="49"/>
      <c r="P632" s="49"/>
      <c r="Q632" s="49">
        <f>SUM(N632:P632)</f>
        <v>0</v>
      </c>
      <c r="R632" s="72"/>
      <c r="S632" s="49">
        <f>M632-Q632</f>
        <v>0</v>
      </c>
      <c r="T632" s="49">
        <v>0</v>
      </c>
      <c r="U632" s="49">
        <f>T632+M632</f>
        <v>0</v>
      </c>
      <c r="V632" s="49">
        <f>T632+S632</f>
        <v>0</v>
      </c>
      <c r="W632" s="49"/>
      <c r="X632" s="49"/>
      <c r="Y632" s="49"/>
      <c r="Z632" s="49"/>
      <c r="AA632" s="49">
        <v>0</v>
      </c>
      <c r="AB632" s="49">
        <v>44960000</v>
      </c>
      <c r="AC632" s="49">
        <f t="shared" si="136"/>
        <v>0</v>
      </c>
      <c r="AD632" s="49">
        <f>AA632+T632+M632</f>
        <v>0</v>
      </c>
      <c r="AE632" s="49"/>
      <c r="AF632" s="49"/>
      <c r="AG632" s="49"/>
      <c r="AH632" s="49"/>
      <c r="AI632" s="49"/>
      <c r="AJ632" s="49"/>
      <c r="AK632" s="49">
        <f>Z632+Y632+X632+W632+N632+AG632+AE632+AJ632+AI632+AH632</f>
        <v>0</v>
      </c>
      <c r="AL632" s="49" t="e">
        <f>AK632/AD632*100</f>
        <v>#DIV/0!</v>
      </c>
      <c r="AM632" s="48"/>
      <c r="AN632" s="49"/>
      <c r="AO632" s="49"/>
      <c r="AP632" s="49"/>
      <c r="AQ632" s="49">
        <f>AK632+AM632+AN632+AO632+AP632</f>
        <v>0</v>
      </c>
      <c r="AR632" s="49">
        <f>AQ632/AB632*100</f>
        <v>0</v>
      </c>
      <c r="AS632" s="49">
        <f t="shared" si="135"/>
        <v>44960000</v>
      </c>
      <c r="AT632" s="49">
        <v>3091500</v>
      </c>
      <c r="AU632" s="49">
        <f>AT632+U632</f>
        <v>3091500</v>
      </c>
      <c r="AV632" s="49">
        <f>AK632</f>
        <v>0</v>
      </c>
      <c r="AW632" s="72">
        <f>AV632/AU632*100</f>
        <v>0</v>
      </c>
      <c r="AX632" s="49">
        <f>AU632-AV632</f>
        <v>3091500</v>
      </c>
      <c r="AY632" s="49">
        <f t="shared" si="133"/>
        <v>100</v>
      </c>
      <c r="AZ632" s="73">
        <f t="shared" si="134"/>
        <v>0</v>
      </c>
      <c r="BB632" s="29">
        <f>AS632</f>
        <v>44960000</v>
      </c>
    </row>
    <row r="633" spans="1:54" ht="20.100000000000001" customHeight="1">
      <c r="A633" s="68"/>
      <c r="B633" s="69"/>
      <c r="C633" s="240" t="s">
        <v>844</v>
      </c>
      <c r="D633" s="240"/>
      <c r="E633" s="241"/>
      <c r="F633" s="70"/>
      <c r="G633" s="71"/>
      <c r="H633" s="71"/>
      <c r="I633" s="240" t="s">
        <v>402</v>
      </c>
      <c r="J633" s="240"/>
      <c r="K633" s="241"/>
      <c r="L633" s="49"/>
      <c r="M633" s="49"/>
      <c r="N633" s="49"/>
      <c r="O633" s="49"/>
      <c r="P633" s="49"/>
      <c r="Q633" s="49"/>
      <c r="R633" s="72"/>
      <c r="S633" s="49"/>
      <c r="T633" s="49"/>
      <c r="U633" s="49"/>
      <c r="V633" s="49"/>
      <c r="W633" s="49"/>
      <c r="X633" s="49"/>
      <c r="Y633" s="49"/>
      <c r="Z633" s="49"/>
      <c r="AA633" s="49"/>
      <c r="AB633" s="49"/>
      <c r="AC633" s="49">
        <f t="shared" si="136"/>
        <v>0</v>
      </c>
      <c r="AD633" s="49"/>
      <c r="AE633" s="49"/>
      <c r="AF633" s="49"/>
      <c r="AG633" s="49"/>
      <c r="AH633" s="49"/>
      <c r="AI633" s="49"/>
      <c r="AJ633" s="49"/>
      <c r="AK633" s="49"/>
      <c r="AL633" s="49"/>
      <c r="AM633" s="49"/>
      <c r="AN633" s="49"/>
      <c r="AO633" s="49"/>
      <c r="AP633" s="49"/>
      <c r="AQ633" s="49"/>
      <c r="AR633" s="49"/>
      <c r="AS633" s="49"/>
      <c r="AT633" s="49"/>
      <c r="AU633" s="49"/>
      <c r="AV633" s="49"/>
      <c r="AW633" s="49"/>
      <c r="AX633" s="49"/>
      <c r="AY633" s="49"/>
      <c r="AZ633" s="73">
        <f t="shared" si="134"/>
        <v>0</v>
      </c>
    </row>
    <row r="634" spans="1:54" ht="20.100000000000001" customHeight="1">
      <c r="A634" s="68"/>
      <c r="B634" s="69"/>
      <c r="C634" s="240" t="s">
        <v>845</v>
      </c>
      <c r="D634" s="240"/>
      <c r="E634" s="241"/>
      <c r="F634" s="70"/>
      <c r="G634" s="71"/>
      <c r="H634" s="71"/>
      <c r="I634" s="71"/>
      <c r="J634" s="240" t="s">
        <v>404</v>
      </c>
      <c r="K634" s="241"/>
      <c r="L634" s="49">
        <v>14400000</v>
      </c>
      <c r="M634" s="49">
        <v>0</v>
      </c>
      <c r="N634" s="49"/>
      <c r="O634" s="49"/>
      <c r="P634" s="49"/>
      <c r="Q634" s="49">
        <f>SUM(N634:P634)</f>
        <v>0</v>
      </c>
      <c r="R634" s="72"/>
      <c r="S634" s="49">
        <f>M634-Q634</f>
        <v>0</v>
      </c>
      <c r="T634" s="49">
        <v>0</v>
      </c>
      <c r="U634" s="49">
        <f t="shared" ref="U634:U652" si="137">T634+M634</f>
        <v>0</v>
      </c>
      <c r="V634" s="49">
        <f t="shared" ref="V634:V642" si="138">T634+S634</f>
        <v>0</v>
      </c>
      <c r="W634" s="49"/>
      <c r="X634" s="49"/>
      <c r="Y634" s="49"/>
      <c r="Z634" s="49"/>
      <c r="AA634" s="49">
        <v>14400000</v>
      </c>
      <c r="AB634" s="49">
        <v>14400000</v>
      </c>
      <c r="AC634" s="49">
        <f t="shared" si="136"/>
        <v>0</v>
      </c>
      <c r="AD634" s="49">
        <f>AA634+T634+M634</f>
        <v>14400000</v>
      </c>
      <c r="AE634" s="49"/>
      <c r="AF634" s="49"/>
      <c r="AG634" s="49"/>
      <c r="AH634" s="49"/>
      <c r="AI634" s="49"/>
      <c r="AJ634" s="49">
        <v>14400000</v>
      </c>
      <c r="AK634" s="49">
        <f>Z634+Y634+X634+W634+N634+AG634+AE634+AJ634+AI634+AH634</f>
        <v>14400000</v>
      </c>
      <c r="AL634" s="49">
        <f>AK634/AD634*100</f>
        <v>100</v>
      </c>
      <c r="AM634" s="49"/>
      <c r="AN634" s="49"/>
      <c r="AO634" s="49"/>
      <c r="AP634" s="49"/>
      <c r="AQ634" s="49">
        <f>AK634+AM634+AN634+AO634+AP634</f>
        <v>14400000</v>
      </c>
      <c r="AR634" s="49">
        <f>AQ634/AB634*100</f>
        <v>100</v>
      </c>
      <c r="AS634" s="49">
        <f t="shared" si="135"/>
        <v>0</v>
      </c>
      <c r="AT634" s="49">
        <v>3091500</v>
      </c>
      <c r="AU634" s="49">
        <f>AT634+U634</f>
        <v>3091500</v>
      </c>
      <c r="AV634" s="49">
        <f>AK634</f>
        <v>14400000</v>
      </c>
      <c r="AW634" s="72">
        <f>AV634/AU634*100</f>
        <v>465.79330422125179</v>
      </c>
      <c r="AX634" s="49">
        <f>AU634-AV634</f>
        <v>-11308500</v>
      </c>
      <c r="AY634" s="49">
        <f t="shared" si="133"/>
        <v>0</v>
      </c>
      <c r="AZ634" s="73">
        <f t="shared" si="134"/>
        <v>14400000</v>
      </c>
    </row>
    <row r="635" spans="1:54" ht="20.100000000000001" customHeight="1">
      <c r="A635" s="60" t="s">
        <v>846</v>
      </c>
      <c r="B635" s="75"/>
      <c r="C635" s="247" t="s">
        <v>847</v>
      </c>
      <c r="D635" s="247"/>
      <c r="E635" s="248"/>
      <c r="F635" s="249" t="s">
        <v>7</v>
      </c>
      <c r="G635" s="250"/>
      <c r="H635" s="250"/>
      <c r="I635" s="250"/>
      <c r="J635" s="250"/>
      <c r="K635" s="251"/>
      <c r="L635" s="48">
        <f>L636+L653</f>
        <v>350068000</v>
      </c>
      <c r="M635" s="48">
        <f>M636+M653</f>
        <v>62436000</v>
      </c>
      <c r="N635" s="48">
        <f>N636+N653</f>
        <v>50683375</v>
      </c>
      <c r="O635" s="48">
        <f>O636+O653</f>
        <v>0</v>
      </c>
      <c r="P635" s="48">
        <f>P636+P653</f>
        <v>0</v>
      </c>
      <c r="Q635" s="48">
        <f>SUM(N635:P635)</f>
        <v>50683375</v>
      </c>
      <c r="R635" s="61">
        <f>Q635/M635*100</f>
        <v>81.176524761355623</v>
      </c>
      <c r="S635" s="48">
        <f>M635-Q635</f>
        <v>11752625</v>
      </c>
      <c r="T635" s="48">
        <f>T636+T653</f>
        <v>204015000</v>
      </c>
      <c r="U635" s="48">
        <f t="shared" si="137"/>
        <v>266451000</v>
      </c>
      <c r="V635" s="48">
        <f t="shared" si="138"/>
        <v>215767625</v>
      </c>
      <c r="W635" s="48">
        <f>W636+W653</f>
        <v>4780450</v>
      </c>
      <c r="X635" s="48">
        <f>X636+X653</f>
        <v>0</v>
      </c>
      <c r="Y635" s="48">
        <f>Y636+Y653</f>
        <v>141408250</v>
      </c>
      <c r="Z635" s="48"/>
      <c r="AA635" s="48">
        <f>AA636+AA653</f>
        <v>62381500</v>
      </c>
      <c r="AB635" s="48">
        <f>AB636+AB653</f>
        <v>350068000</v>
      </c>
      <c r="AC635" s="48">
        <f t="shared" si="136"/>
        <v>0</v>
      </c>
      <c r="AD635" s="48">
        <f>AA635+T635+M635</f>
        <v>328832500</v>
      </c>
      <c r="AE635" s="48">
        <f t="shared" ref="AE635:AK635" si="139">AE636+AE653</f>
        <v>0</v>
      </c>
      <c r="AF635" s="48">
        <f t="shared" si="139"/>
        <v>0</v>
      </c>
      <c r="AG635" s="48">
        <f t="shared" si="139"/>
        <v>3080000</v>
      </c>
      <c r="AH635" s="48">
        <f t="shared" si="139"/>
        <v>0</v>
      </c>
      <c r="AI635" s="48">
        <f t="shared" si="139"/>
        <v>0</v>
      </c>
      <c r="AJ635" s="48">
        <f t="shared" si="139"/>
        <v>38363160</v>
      </c>
      <c r="AK635" s="48">
        <f t="shared" si="139"/>
        <v>236941235</v>
      </c>
      <c r="AL635" s="48">
        <f>AK635/AB635*100</f>
        <v>67.684345612852354</v>
      </c>
      <c r="AM635" s="48">
        <f>AM636+AM653</f>
        <v>0</v>
      </c>
      <c r="AN635" s="48">
        <f>AN636+AN653</f>
        <v>0</v>
      </c>
      <c r="AO635" s="48">
        <f>AO636+AO653</f>
        <v>43094750</v>
      </c>
      <c r="AP635" s="48">
        <f>AP636+AP653</f>
        <v>0</v>
      </c>
      <c r="AQ635" s="48">
        <f>AK635+AM635+AN635+AO635+AP635</f>
        <v>280035985</v>
      </c>
      <c r="AR635" s="48">
        <f>AQ635/AB635*100</f>
        <v>79.994739593450419</v>
      </c>
      <c r="AS635" s="48">
        <f>AB635-AQ635</f>
        <v>70032015</v>
      </c>
      <c r="AT635" s="48">
        <v>120767500</v>
      </c>
      <c r="AU635" s="48">
        <f>AT635+U635</f>
        <v>387218500</v>
      </c>
      <c r="AV635" s="48">
        <f>AK635</f>
        <v>236941235</v>
      </c>
      <c r="AW635" s="61">
        <f>AV635/AU635*100</f>
        <v>61.190577154758877</v>
      </c>
      <c r="AX635" s="48">
        <f>AU635-AV635</f>
        <v>150277265</v>
      </c>
      <c r="AY635" s="48">
        <f>AS635/AB635*100</f>
        <v>20.005260406549585</v>
      </c>
      <c r="AZ635" s="73">
        <f t="shared" si="134"/>
        <v>236941235</v>
      </c>
    </row>
    <row r="636" spans="1:54" ht="20.100000000000001" customHeight="1">
      <c r="A636" s="62">
        <v>37</v>
      </c>
      <c r="B636" s="63"/>
      <c r="C636" s="242" t="s">
        <v>848</v>
      </c>
      <c r="D636" s="242"/>
      <c r="E636" s="243"/>
      <c r="F636" s="79"/>
      <c r="G636" s="80"/>
      <c r="H636" s="244" t="s">
        <v>849</v>
      </c>
      <c r="I636" s="244"/>
      <c r="J636" s="244"/>
      <c r="K636" s="245"/>
      <c r="L636" s="65">
        <f>SUM(L638:L652)</f>
        <v>10587000</v>
      </c>
      <c r="M636" s="65">
        <f>SUM(M638:M652)</f>
        <v>10587000</v>
      </c>
      <c r="N636" s="65">
        <f>SUM(N638:N652)</f>
        <v>6769000</v>
      </c>
      <c r="O636" s="65">
        <f>SUM(O638:O652)</f>
        <v>0</v>
      </c>
      <c r="P636" s="65">
        <f>SUM(P638:P652)</f>
        <v>0</v>
      </c>
      <c r="Q636" s="65">
        <f>SUM(N636:P636)</f>
        <v>6769000</v>
      </c>
      <c r="R636" s="66">
        <f>Q636/M636*100</f>
        <v>63.936903749881935</v>
      </c>
      <c r="S636" s="65">
        <f>M636-Q636</f>
        <v>3818000</v>
      </c>
      <c r="T636" s="65">
        <f>SUM(T638:T652)</f>
        <v>0</v>
      </c>
      <c r="U636" s="65">
        <f t="shared" si="137"/>
        <v>10587000</v>
      </c>
      <c r="V636" s="65">
        <f t="shared" si="138"/>
        <v>3818000</v>
      </c>
      <c r="W636" s="65">
        <f>SUM(W638:W652)</f>
        <v>2530450</v>
      </c>
      <c r="X636" s="65">
        <f>SUM(X638:X652)</f>
        <v>0</v>
      </c>
      <c r="Y636" s="65">
        <f>SUM(Y638:Y652)</f>
        <v>0</v>
      </c>
      <c r="Z636" s="65"/>
      <c r="AA636" s="65">
        <f>SUM(AA638:AA652)</f>
        <v>0</v>
      </c>
      <c r="AB636" s="65">
        <f>SUM(AB638:AB652)</f>
        <v>10587000</v>
      </c>
      <c r="AC636" s="65">
        <f t="shared" si="136"/>
        <v>0</v>
      </c>
      <c r="AD636" s="65">
        <f>AA636+T636+M636</f>
        <v>10587000</v>
      </c>
      <c r="AE636" s="65">
        <f t="shared" ref="AE636:AK636" si="140">SUM(AE638:AE652)</f>
        <v>0</v>
      </c>
      <c r="AF636" s="65">
        <f t="shared" si="140"/>
        <v>0</v>
      </c>
      <c r="AG636" s="65">
        <f t="shared" si="140"/>
        <v>0</v>
      </c>
      <c r="AH636" s="65">
        <f t="shared" si="140"/>
        <v>0</v>
      </c>
      <c r="AI636" s="65">
        <f t="shared" si="140"/>
        <v>0</v>
      </c>
      <c r="AJ636" s="65">
        <f t="shared" si="140"/>
        <v>1160000</v>
      </c>
      <c r="AK636" s="65">
        <f t="shared" si="140"/>
        <v>10459450</v>
      </c>
      <c r="AL636" s="65">
        <f>AK636/AB636*100</f>
        <v>98.795220553509026</v>
      </c>
      <c r="AM636" s="65">
        <f>SUM(AM638:AM652)</f>
        <v>0</v>
      </c>
      <c r="AN636" s="65">
        <f>SUM(AN638:AN652)</f>
        <v>0</v>
      </c>
      <c r="AO636" s="65">
        <f>SUM(AO638:AO652)</f>
        <v>0</v>
      </c>
      <c r="AP636" s="65">
        <f>SUM(AP638:AP652)</f>
        <v>0</v>
      </c>
      <c r="AQ636" s="65">
        <f>AK636+AM636+AN636+AO636+AP636</f>
        <v>10459450</v>
      </c>
      <c r="AR636" s="65">
        <f>AQ636/AB636*100</f>
        <v>98.795220553509026</v>
      </c>
      <c r="AS636" s="65">
        <f>AB636-AQ636</f>
        <v>127550</v>
      </c>
      <c r="AT636" s="65">
        <f>SUM(AT639:AT645)</f>
        <v>12366000</v>
      </c>
      <c r="AU636" s="65">
        <f>AT636+U636</f>
        <v>22953000</v>
      </c>
      <c r="AV636" s="65">
        <f>AK636</f>
        <v>10459450</v>
      </c>
      <c r="AW636" s="66">
        <f>AV636/AU636*100</f>
        <v>45.568988803206551</v>
      </c>
      <c r="AX636" s="65">
        <f>AU636-AV636</f>
        <v>12493550</v>
      </c>
      <c r="AY636" s="65">
        <f>AS636/AB636*100</f>
        <v>1.2047794464909796</v>
      </c>
      <c r="AZ636" s="67">
        <f t="shared" si="134"/>
        <v>10459450</v>
      </c>
      <c r="BA636" s="29">
        <f>AS636</f>
        <v>127550</v>
      </c>
    </row>
    <row r="637" spans="1:54" ht="20.100000000000001" customHeight="1">
      <c r="A637" s="68"/>
      <c r="B637" s="69"/>
      <c r="C637" s="240" t="s">
        <v>850</v>
      </c>
      <c r="D637" s="240"/>
      <c r="E637" s="241"/>
      <c r="F637" s="70"/>
      <c r="G637" s="71"/>
      <c r="H637" s="240" t="s">
        <v>10</v>
      </c>
      <c r="I637" s="240"/>
      <c r="J637" s="240"/>
      <c r="K637" s="241"/>
      <c r="L637" s="49"/>
      <c r="M637" s="49"/>
      <c r="N637" s="49"/>
      <c r="O637" s="49"/>
      <c r="P637" s="49"/>
      <c r="Q637" s="49"/>
      <c r="R637" s="72"/>
      <c r="S637" s="49"/>
      <c r="T637" s="49">
        <v>0</v>
      </c>
      <c r="U637" s="49">
        <f t="shared" si="137"/>
        <v>0</v>
      </c>
      <c r="V637" s="49">
        <f t="shared" si="138"/>
        <v>0</v>
      </c>
      <c r="W637" s="49"/>
      <c r="X637" s="49"/>
      <c r="Y637" s="49"/>
      <c r="Z637" s="49"/>
      <c r="AA637" s="49">
        <v>0</v>
      </c>
      <c r="AB637" s="49"/>
      <c r="AC637" s="49">
        <f t="shared" si="136"/>
        <v>0</v>
      </c>
      <c r="AD637" s="49"/>
      <c r="AE637" s="49"/>
      <c r="AF637" s="49"/>
      <c r="AG637" s="49"/>
      <c r="AH637" s="49"/>
      <c r="AI637" s="49"/>
      <c r="AJ637" s="49"/>
      <c r="AK637" s="49"/>
      <c r="AL637" s="49"/>
      <c r="AM637" s="49"/>
      <c r="AN637" s="49"/>
      <c r="AO637" s="49"/>
      <c r="AP637" s="49"/>
      <c r="AQ637" s="49"/>
      <c r="AR637" s="49"/>
      <c r="AS637" s="49"/>
      <c r="AT637" s="49"/>
      <c r="AU637" s="49"/>
      <c r="AV637" s="49"/>
      <c r="AW637" s="49"/>
      <c r="AX637" s="49"/>
      <c r="AY637" s="49"/>
      <c r="AZ637" s="73">
        <f t="shared" si="134"/>
        <v>0</v>
      </c>
    </row>
    <row r="638" spans="1:54" ht="20.100000000000001" customHeight="1">
      <c r="A638" s="68"/>
      <c r="B638" s="69"/>
      <c r="C638" s="240" t="s">
        <v>851</v>
      </c>
      <c r="D638" s="240"/>
      <c r="E638" s="241"/>
      <c r="F638" s="70"/>
      <c r="G638" s="71"/>
      <c r="H638" s="71"/>
      <c r="I638" s="71"/>
      <c r="J638" s="240" t="s">
        <v>283</v>
      </c>
      <c r="K638" s="241"/>
      <c r="L638" s="49">
        <v>2670000</v>
      </c>
      <c r="M638" s="49">
        <v>2670000</v>
      </c>
      <c r="N638" s="49">
        <v>2620000</v>
      </c>
      <c r="O638" s="49"/>
      <c r="P638" s="49"/>
      <c r="Q638" s="49">
        <f>SUM(N638:P638)</f>
        <v>2620000</v>
      </c>
      <c r="R638" s="72">
        <f>Q638/M638*100</f>
        <v>98.12734082397003</v>
      </c>
      <c r="S638" s="49">
        <f>M638-Q638</f>
        <v>50000</v>
      </c>
      <c r="T638" s="49">
        <v>0</v>
      </c>
      <c r="U638" s="49">
        <f t="shared" si="137"/>
        <v>2670000</v>
      </c>
      <c r="V638" s="49">
        <f t="shared" si="138"/>
        <v>50000</v>
      </c>
      <c r="W638" s="49"/>
      <c r="X638" s="49"/>
      <c r="Y638" s="49"/>
      <c r="Z638" s="49"/>
      <c r="AA638" s="49">
        <v>0</v>
      </c>
      <c r="AB638" s="49">
        <v>2670000</v>
      </c>
      <c r="AC638" s="49">
        <f t="shared" si="136"/>
        <v>0</v>
      </c>
      <c r="AD638" s="49">
        <f>AA638+T638+M638</f>
        <v>2670000</v>
      </c>
      <c r="AE638" s="49"/>
      <c r="AF638" s="49"/>
      <c r="AG638" s="49"/>
      <c r="AH638" s="49"/>
      <c r="AI638" s="49"/>
      <c r="AJ638" s="49"/>
      <c r="AK638" s="49">
        <f>Z638+Y638+X638+W638+N638+AG638+AE638+AJ638+AI638+AH638</f>
        <v>2620000</v>
      </c>
      <c r="AL638" s="49">
        <f>AK638/AD638*100</f>
        <v>98.12734082397003</v>
      </c>
      <c r="AM638" s="49"/>
      <c r="AN638" s="49"/>
      <c r="AO638" s="49"/>
      <c r="AP638" s="49"/>
      <c r="AQ638" s="49">
        <f>AK638+AM638+AN638+AO638+AP638</f>
        <v>2620000</v>
      </c>
      <c r="AR638" s="49">
        <f>AQ638/AB638*100</f>
        <v>98.12734082397003</v>
      </c>
      <c r="AS638" s="49">
        <f t="shared" si="135"/>
        <v>50000</v>
      </c>
      <c r="AT638" s="49">
        <v>3091500</v>
      </c>
      <c r="AU638" s="49">
        <f t="shared" ref="AU638:AU645" si="141">AT638+U638</f>
        <v>5761500</v>
      </c>
      <c r="AV638" s="49">
        <f t="shared" ref="AV638:AV645" si="142">AK638</f>
        <v>2620000</v>
      </c>
      <c r="AW638" s="72">
        <f t="shared" ref="AW638:AW645" si="143">AV638/AU638*100</f>
        <v>45.474268853597152</v>
      </c>
      <c r="AX638" s="49">
        <f t="shared" ref="AX638:AX645" si="144">AU638-AV638</f>
        <v>3141500</v>
      </c>
      <c r="AY638" s="49">
        <f t="shared" si="133"/>
        <v>1.8726591760299627</v>
      </c>
      <c r="AZ638" s="73">
        <f t="shared" si="134"/>
        <v>2620000</v>
      </c>
    </row>
    <row r="639" spans="1:54" ht="20.100000000000001" customHeight="1">
      <c r="A639" s="68"/>
      <c r="B639" s="69"/>
      <c r="C639" s="240" t="s">
        <v>852</v>
      </c>
      <c r="D639" s="240"/>
      <c r="E639" s="241"/>
      <c r="F639" s="70"/>
      <c r="G639" s="71"/>
      <c r="H639" s="240" t="s">
        <v>143</v>
      </c>
      <c r="I639" s="240"/>
      <c r="J639" s="240"/>
      <c r="K639" s="241"/>
      <c r="L639" s="49"/>
      <c r="M639" s="49"/>
      <c r="N639" s="49"/>
      <c r="O639" s="49"/>
      <c r="P639" s="49"/>
      <c r="Q639" s="49"/>
      <c r="R639" s="72"/>
      <c r="S639" s="49"/>
      <c r="T639" s="49">
        <v>0</v>
      </c>
      <c r="U639" s="49">
        <f t="shared" si="137"/>
        <v>0</v>
      </c>
      <c r="V639" s="49">
        <f t="shared" si="138"/>
        <v>0</v>
      </c>
      <c r="W639" s="49"/>
      <c r="X639" s="49"/>
      <c r="Y639" s="49"/>
      <c r="Z639" s="49"/>
      <c r="AA639" s="49">
        <v>0</v>
      </c>
      <c r="AB639" s="49"/>
      <c r="AC639" s="49">
        <f t="shared" si="136"/>
        <v>0</v>
      </c>
      <c r="AD639" s="49"/>
      <c r="AE639" s="49"/>
      <c r="AF639" s="49"/>
      <c r="AG639" s="49"/>
      <c r="AH639" s="49"/>
      <c r="AI639" s="49"/>
      <c r="AJ639" s="49"/>
      <c r="AK639" s="49"/>
      <c r="AL639" s="49"/>
      <c r="AM639" s="49"/>
      <c r="AN639" s="49"/>
      <c r="AO639" s="49"/>
      <c r="AP639" s="49"/>
      <c r="AQ639" s="49"/>
      <c r="AR639" s="49"/>
      <c r="AS639" s="49"/>
      <c r="AT639" s="49"/>
      <c r="AU639" s="49"/>
      <c r="AV639" s="49"/>
      <c r="AW639" s="49"/>
      <c r="AX639" s="49"/>
      <c r="AY639" s="49"/>
      <c r="AZ639" s="73">
        <f t="shared" si="134"/>
        <v>0</v>
      </c>
    </row>
    <row r="640" spans="1:54" ht="20.100000000000001" customHeight="1">
      <c r="A640" s="68"/>
      <c r="B640" s="69"/>
      <c r="C640" s="240" t="s">
        <v>853</v>
      </c>
      <c r="D640" s="240"/>
      <c r="E640" s="241"/>
      <c r="F640" s="70"/>
      <c r="G640" s="71"/>
      <c r="H640" s="71"/>
      <c r="I640" s="240" t="s">
        <v>145</v>
      </c>
      <c r="J640" s="240"/>
      <c r="K640" s="241"/>
      <c r="L640" s="49"/>
      <c r="M640" s="49"/>
      <c r="N640" s="49"/>
      <c r="O640" s="49"/>
      <c r="P640" s="49"/>
      <c r="Q640" s="49"/>
      <c r="R640" s="72"/>
      <c r="S640" s="49"/>
      <c r="T640" s="49">
        <v>0</v>
      </c>
      <c r="U640" s="49">
        <f t="shared" si="137"/>
        <v>0</v>
      </c>
      <c r="V640" s="49">
        <f t="shared" si="138"/>
        <v>0</v>
      </c>
      <c r="W640" s="49"/>
      <c r="X640" s="49"/>
      <c r="Y640" s="49"/>
      <c r="Z640" s="49"/>
      <c r="AA640" s="49">
        <v>0</v>
      </c>
      <c r="AB640" s="49"/>
      <c r="AC640" s="49">
        <f t="shared" si="136"/>
        <v>0</v>
      </c>
      <c r="AD640" s="49"/>
      <c r="AE640" s="49"/>
      <c r="AF640" s="49"/>
      <c r="AG640" s="49"/>
      <c r="AH640" s="49"/>
      <c r="AI640" s="49"/>
      <c r="AJ640" s="49"/>
      <c r="AK640" s="49"/>
      <c r="AL640" s="49"/>
      <c r="AM640" s="49"/>
      <c r="AN640" s="49"/>
      <c r="AO640" s="49"/>
      <c r="AP640" s="49"/>
      <c r="AQ640" s="49"/>
      <c r="AR640" s="49"/>
      <c r="AS640" s="49"/>
      <c r="AT640" s="49"/>
      <c r="AU640" s="49"/>
      <c r="AV640" s="49"/>
      <c r="AW640" s="49"/>
      <c r="AX640" s="49"/>
      <c r="AY640" s="49"/>
      <c r="AZ640" s="73">
        <f t="shared" si="134"/>
        <v>0</v>
      </c>
    </row>
    <row r="641" spans="1:52" ht="20.100000000000001" customHeight="1">
      <c r="A641" s="68"/>
      <c r="B641" s="69"/>
      <c r="C641" s="246" t="s">
        <v>854</v>
      </c>
      <c r="D641" s="240"/>
      <c r="E641" s="241"/>
      <c r="F641" s="70"/>
      <c r="G641" s="71"/>
      <c r="H641" s="71"/>
      <c r="I641" s="240" t="s">
        <v>147</v>
      </c>
      <c r="J641" s="240"/>
      <c r="K641" s="241"/>
      <c r="L641" s="49">
        <v>884000</v>
      </c>
      <c r="M641" s="81">
        <v>884000</v>
      </c>
      <c r="N641" s="49">
        <v>864000</v>
      </c>
      <c r="O641" s="49"/>
      <c r="P641" s="49"/>
      <c r="Q641" s="49">
        <f>SUM(N641:P641)</f>
        <v>864000</v>
      </c>
      <c r="R641" s="72">
        <f>Q641/M641*100</f>
        <v>97.737556561085967</v>
      </c>
      <c r="S641" s="49">
        <f>M641-Q641</f>
        <v>20000</v>
      </c>
      <c r="T641" s="49">
        <v>0</v>
      </c>
      <c r="U641" s="49">
        <f t="shared" si="137"/>
        <v>884000</v>
      </c>
      <c r="V641" s="49">
        <f t="shared" si="138"/>
        <v>20000</v>
      </c>
      <c r="W641" s="49"/>
      <c r="X641" s="49"/>
      <c r="Y641" s="49"/>
      <c r="Z641" s="49"/>
      <c r="AA641" s="49"/>
      <c r="AB641" s="49">
        <v>884000</v>
      </c>
      <c r="AC641" s="49">
        <f t="shared" si="136"/>
        <v>0</v>
      </c>
      <c r="AD641" s="49">
        <f>AA641+T641+M641</f>
        <v>884000</v>
      </c>
      <c r="AE641" s="49"/>
      <c r="AF641" s="49"/>
      <c r="AG641" s="49"/>
      <c r="AH641" s="49"/>
      <c r="AI641" s="49"/>
      <c r="AJ641" s="49"/>
      <c r="AK641" s="49">
        <f>Z641+Y641+X641+W641+N641+AG641+AE641+AJ641+AI641+AH641</f>
        <v>864000</v>
      </c>
      <c r="AL641" s="49">
        <f>AK641/AD641*100</f>
        <v>97.737556561085967</v>
      </c>
      <c r="AM641" s="49"/>
      <c r="AN641" s="49"/>
      <c r="AO641" s="49"/>
      <c r="AP641" s="49"/>
      <c r="AQ641" s="49">
        <f>AK641+AM641+AN641+AO641+AP641</f>
        <v>864000</v>
      </c>
      <c r="AR641" s="49">
        <f>AQ641/AB641*100</f>
        <v>97.737556561085967</v>
      </c>
      <c r="AS641" s="49">
        <f t="shared" si="135"/>
        <v>20000</v>
      </c>
      <c r="AT641" s="49">
        <v>3091500</v>
      </c>
      <c r="AU641" s="49">
        <f t="shared" si="141"/>
        <v>3975500</v>
      </c>
      <c r="AV641" s="49">
        <f t="shared" si="142"/>
        <v>864000</v>
      </c>
      <c r="AW641" s="72">
        <f t="shared" si="143"/>
        <v>21.733115331404854</v>
      </c>
      <c r="AX641" s="49">
        <f t="shared" si="144"/>
        <v>3111500</v>
      </c>
      <c r="AY641" s="49">
        <f t="shared" si="133"/>
        <v>2.2624434389140271</v>
      </c>
      <c r="AZ641" s="73">
        <f t="shared" si="134"/>
        <v>864000</v>
      </c>
    </row>
    <row r="642" spans="1:52" ht="20.100000000000001" customHeight="1">
      <c r="A642" s="68"/>
      <c r="B642" s="69"/>
      <c r="C642" s="240" t="s">
        <v>855</v>
      </c>
      <c r="D642" s="240"/>
      <c r="E642" s="241"/>
      <c r="F642" s="70"/>
      <c r="G642" s="71"/>
      <c r="H642" s="71"/>
      <c r="I642" s="240" t="s">
        <v>151</v>
      </c>
      <c r="J642" s="240"/>
      <c r="K642" s="241"/>
      <c r="L642" s="49"/>
      <c r="M642" s="49"/>
      <c r="N642" s="49"/>
      <c r="O642" s="49"/>
      <c r="P642" s="49"/>
      <c r="Q642" s="49"/>
      <c r="R642" s="72"/>
      <c r="S642" s="49"/>
      <c r="T642" s="49">
        <v>0</v>
      </c>
      <c r="U642" s="49">
        <f t="shared" si="137"/>
        <v>0</v>
      </c>
      <c r="V642" s="49">
        <f t="shared" si="138"/>
        <v>0</v>
      </c>
      <c r="W642" s="49"/>
      <c r="X642" s="49"/>
      <c r="Y642" s="49"/>
      <c r="Z642" s="49"/>
      <c r="AA642" s="49">
        <v>0</v>
      </c>
      <c r="AB642" s="49"/>
      <c r="AC642" s="49">
        <f t="shared" si="136"/>
        <v>0</v>
      </c>
      <c r="AD642" s="49"/>
      <c r="AE642" s="49"/>
      <c r="AF642" s="49"/>
      <c r="AG642" s="49"/>
      <c r="AH642" s="49"/>
      <c r="AI642" s="49"/>
      <c r="AJ642" s="49"/>
      <c r="AK642" s="49"/>
      <c r="AL642" s="49"/>
      <c r="AM642" s="49"/>
      <c r="AN642" s="49"/>
      <c r="AO642" s="49"/>
      <c r="AP642" s="49"/>
      <c r="AQ642" s="49"/>
      <c r="AR642" s="49"/>
      <c r="AS642" s="49"/>
      <c r="AT642" s="49"/>
      <c r="AU642" s="49"/>
      <c r="AV642" s="49"/>
      <c r="AW642" s="49"/>
      <c r="AX642" s="49"/>
      <c r="AY642" s="49"/>
      <c r="AZ642" s="73">
        <f t="shared" si="134"/>
        <v>0</v>
      </c>
    </row>
    <row r="643" spans="1:52" ht="20.100000000000001" customHeight="1">
      <c r="A643" s="68"/>
      <c r="B643" s="69"/>
      <c r="C643" s="246" t="s">
        <v>856</v>
      </c>
      <c r="D643" s="240"/>
      <c r="E643" s="241"/>
      <c r="F643" s="70"/>
      <c r="G643" s="71"/>
      <c r="H643" s="71"/>
      <c r="I643" s="82"/>
      <c r="J643" s="240" t="s">
        <v>153</v>
      </c>
      <c r="K643" s="241"/>
      <c r="L643" s="49">
        <v>290000</v>
      </c>
      <c r="M643" s="81">
        <v>290000</v>
      </c>
      <c r="N643" s="49">
        <f>200000+90000</f>
        <v>290000</v>
      </c>
      <c r="O643" s="49"/>
      <c r="P643" s="49"/>
      <c r="Q643" s="49">
        <f>SUM(N643:P643)</f>
        <v>290000</v>
      </c>
      <c r="R643" s="72">
        <f>Q643/M643*100</f>
        <v>100</v>
      </c>
      <c r="S643" s="49">
        <f>M643-Q643</f>
        <v>0</v>
      </c>
      <c r="T643" s="49"/>
      <c r="U643" s="49">
        <f t="shared" si="137"/>
        <v>290000</v>
      </c>
      <c r="V643" s="49"/>
      <c r="W643" s="49"/>
      <c r="X643" s="49"/>
      <c r="Y643" s="49"/>
      <c r="Z643" s="49"/>
      <c r="AA643" s="49"/>
      <c r="AB643" s="49">
        <v>290000</v>
      </c>
      <c r="AC643" s="49">
        <f t="shared" si="136"/>
        <v>0</v>
      </c>
      <c r="AD643" s="49">
        <f>AA643+T643+M643</f>
        <v>290000</v>
      </c>
      <c r="AE643" s="49"/>
      <c r="AF643" s="49"/>
      <c r="AG643" s="49"/>
      <c r="AH643" s="49"/>
      <c r="AI643" s="49"/>
      <c r="AJ643" s="49"/>
      <c r="AK643" s="49">
        <f>Z643+Y643+X643+W643+N643+AG643+AE643+AJ643+AI643+AH643</f>
        <v>290000</v>
      </c>
      <c r="AL643" s="49">
        <f>AK643/AD643*100</f>
        <v>100</v>
      </c>
      <c r="AM643" s="49"/>
      <c r="AN643" s="49"/>
      <c r="AO643" s="49"/>
      <c r="AP643" s="49"/>
      <c r="AQ643" s="49">
        <f>AK643+AM643+AN643+AO643+AP643</f>
        <v>290000</v>
      </c>
      <c r="AR643" s="49">
        <f>AQ643/AB643*100</f>
        <v>100</v>
      </c>
      <c r="AS643" s="49">
        <f t="shared" si="135"/>
        <v>0</v>
      </c>
      <c r="AT643" s="49">
        <v>3091500</v>
      </c>
      <c r="AU643" s="49">
        <f t="shared" si="141"/>
        <v>3381500</v>
      </c>
      <c r="AV643" s="49">
        <f t="shared" si="142"/>
        <v>290000</v>
      </c>
      <c r="AW643" s="72">
        <f t="shared" si="143"/>
        <v>8.5760757060476109</v>
      </c>
      <c r="AX643" s="49">
        <f t="shared" si="144"/>
        <v>3091500</v>
      </c>
      <c r="AY643" s="49">
        <f t="shared" si="133"/>
        <v>0</v>
      </c>
      <c r="AZ643" s="73">
        <f t="shared" si="134"/>
        <v>290000</v>
      </c>
    </row>
    <row r="644" spans="1:52" ht="20.100000000000001" customHeight="1">
      <c r="A644" s="68"/>
      <c r="B644" s="69"/>
      <c r="C644" s="240" t="s">
        <v>857</v>
      </c>
      <c r="D644" s="240"/>
      <c r="E644" s="241"/>
      <c r="F644" s="70"/>
      <c r="G644" s="71"/>
      <c r="H644" s="71"/>
      <c r="I644" s="71"/>
      <c r="J644" s="240" t="s">
        <v>155</v>
      </c>
      <c r="K644" s="241"/>
      <c r="L644" s="49">
        <v>1220500</v>
      </c>
      <c r="M644" s="49">
        <v>1220500</v>
      </c>
      <c r="N644" s="49">
        <v>700000</v>
      </c>
      <c r="O644" s="49"/>
      <c r="P644" s="49"/>
      <c r="Q644" s="49">
        <f>SUM(N644:P644)</f>
        <v>700000</v>
      </c>
      <c r="R644" s="72">
        <f>Q644/M644*100</f>
        <v>57.353543629659974</v>
      </c>
      <c r="S644" s="49">
        <f>M644-Q644</f>
        <v>520500</v>
      </c>
      <c r="T644" s="49">
        <v>0</v>
      </c>
      <c r="U644" s="49">
        <f t="shared" si="137"/>
        <v>1220500</v>
      </c>
      <c r="V644" s="49">
        <f t="shared" ref="V644:V652" si="145">T644+S644</f>
        <v>520500</v>
      </c>
      <c r="W644" s="49">
        <v>520450</v>
      </c>
      <c r="X644" s="49"/>
      <c r="Y644" s="49"/>
      <c r="Z644" s="49"/>
      <c r="AA644" s="49">
        <v>0</v>
      </c>
      <c r="AB644" s="49">
        <v>1220500</v>
      </c>
      <c r="AC644" s="49">
        <f t="shared" si="136"/>
        <v>0</v>
      </c>
      <c r="AD644" s="49">
        <f>AA644+T644+M644</f>
        <v>1220500</v>
      </c>
      <c r="AE644" s="49"/>
      <c r="AF644" s="49"/>
      <c r="AG644" s="49">
        <v>0</v>
      </c>
      <c r="AH644" s="49"/>
      <c r="AI644" s="49">
        <v>0</v>
      </c>
      <c r="AJ644" s="49">
        <v>0</v>
      </c>
      <c r="AK644" s="49">
        <f>Z644+Y644+X644+W644+N644+AG644+AE644+AJ644+AI644+AH644</f>
        <v>1220450</v>
      </c>
      <c r="AL644" s="49">
        <f>AK644/AD644*100</f>
        <v>99.995903318312159</v>
      </c>
      <c r="AM644" s="49"/>
      <c r="AN644" s="49"/>
      <c r="AO644" s="49"/>
      <c r="AP644" s="49"/>
      <c r="AQ644" s="49">
        <f>AK644+AM644+AN644+AO644+AP644</f>
        <v>1220450</v>
      </c>
      <c r="AR644" s="49">
        <f>AQ644/AB644*100</f>
        <v>99.995903318312159</v>
      </c>
      <c r="AS644" s="49">
        <f t="shared" si="135"/>
        <v>50</v>
      </c>
      <c r="AT644" s="49">
        <v>3091500</v>
      </c>
      <c r="AU644" s="49">
        <f t="shared" si="141"/>
        <v>4312000</v>
      </c>
      <c r="AV644" s="49">
        <f t="shared" si="142"/>
        <v>1220450</v>
      </c>
      <c r="AW644" s="72">
        <f t="shared" si="143"/>
        <v>28.303571428571427</v>
      </c>
      <c r="AX644" s="49">
        <f t="shared" si="144"/>
        <v>3091550</v>
      </c>
      <c r="AY644" s="49">
        <f t="shared" si="133"/>
        <v>4.0966816878328554E-3</v>
      </c>
      <c r="AZ644" s="73">
        <f t="shared" si="134"/>
        <v>1220450</v>
      </c>
    </row>
    <row r="645" spans="1:52" ht="20.100000000000001" customHeight="1">
      <c r="A645" s="68"/>
      <c r="B645" s="69"/>
      <c r="C645" s="240" t="s">
        <v>858</v>
      </c>
      <c r="D645" s="240"/>
      <c r="E645" s="241"/>
      <c r="F645" s="70"/>
      <c r="G645" s="71"/>
      <c r="H645" s="71"/>
      <c r="I645" s="71"/>
      <c r="J645" s="240" t="s">
        <v>309</v>
      </c>
      <c r="K645" s="241"/>
      <c r="L645" s="49">
        <v>100000</v>
      </c>
      <c r="M645" s="49">
        <v>100000</v>
      </c>
      <c r="N645" s="49">
        <v>100000</v>
      </c>
      <c r="O645" s="49"/>
      <c r="P645" s="49"/>
      <c r="Q645" s="49">
        <f>SUM(N645:P645)</f>
        <v>100000</v>
      </c>
      <c r="R645" s="72">
        <f>Q645/M645*100</f>
        <v>100</v>
      </c>
      <c r="S645" s="49">
        <f>M645-Q645</f>
        <v>0</v>
      </c>
      <c r="T645" s="49">
        <v>0</v>
      </c>
      <c r="U645" s="49">
        <f t="shared" si="137"/>
        <v>100000</v>
      </c>
      <c r="V645" s="49">
        <f t="shared" si="145"/>
        <v>0</v>
      </c>
      <c r="W645" s="49"/>
      <c r="X645" s="49"/>
      <c r="Y645" s="49"/>
      <c r="Z645" s="49"/>
      <c r="AA645" s="49">
        <v>0</v>
      </c>
      <c r="AB645" s="49">
        <v>100000</v>
      </c>
      <c r="AC645" s="49">
        <f t="shared" si="136"/>
        <v>0</v>
      </c>
      <c r="AD645" s="49">
        <f>AA645+T645+M645</f>
        <v>100000</v>
      </c>
      <c r="AE645" s="49"/>
      <c r="AF645" s="49"/>
      <c r="AG645" s="49"/>
      <c r="AH645" s="49"/>
      <c r="AI645" s="49"/>
      <c r="AJ645" s="49"/>
      <c r="AK645" s="49">
        <f>Z645+Y645+X645+W645+N645+AG645+AE645+AJ645+AI645+AH645</f>
        <v>100000</v>
      </c>
      <c r="AL645" s="49">
        <f>AK645/AD645*100</f>
        <v>100</v>
      </c>
      <c r="AM645" s="49"/>
      <c r="AN645" s="49"/>
      <c r="AO645" s="49"/>
      <c r="AP645" s="49"/>
      <c r="AQ645" s="49">
        <f>AK645+AM645+AN645+AO645+AP645</f>
        <v>100000</v>
      </c>
      <c r="AR645" s="49">
        <f>AQ645/AB645*100</f>
        <v>100</v>
      </c>
      <c r="AS645" s="49">
        <f t="shared" si="135"/>
        <v>0</v>
      </c>
      <c r="AT645" s="49">
        <v>3091500</v>
      </c>
      <c r="AU645" s="49">
        <f t="shared" si="141"/>
        <v>3191500</v>
      </c>
      <c r="AV645" s="49">
        <f t="shared" si="142"/>
        <v>100000</v>
      </c>
      <c r="AW645" s="72">
        <f t="shared" si="143"/>
        <v>3.1333228889237037</v>
      </c>
      <c r="AX645" s="49">
        <f t="shared" si="144"/>
        <v>3091500</v>
      </c>
      <c r="AY645" s="49">
        <f t="shared" si="133"/>
        <v>0</v>
      </c>
      <c r="AZ645" s="73">
        <f t="shared" si="134"/>
        <v>100000</v>
      </c>
    </row>
    <row r="646" spans="1:52" ht="20.100000000000001" customHeight="1">
      <c r="A646" s="68"/>
      <c r="B646" s="69"/>
      <c r="C646" s="240" t="s">
        <v>859</v>
      </c>
      <c r="D646" s="240"/>
      <c r="E646" s="241"/>
      <c r="F646" s="70"/>
      <c r="G646" s="71"/>
      <c r="H646" s="71"/>
      <c r="I646" s="240" t="s">
        <v>193</v>
      </c>
      <c r="J646" s="240"/>
      <c r="K646" s="241"/>
      <c r="L646" s="49"/>
      <c r="M646" s="49"/>
      <c r="N646" s="49"/>
      <c r="O646" s="49"/>
      <c r="P646" s="49"/>
      <c r="Q646" s="49"/>
      <c r="R646" s="72"/>
      <c r="S646" s="49"/>
      <c r="T646" s="49">
        <v>0</v>
      </c>
      <c r="U646" s="49">
        <f t="shared" si="137"/>
        <v>0</v>
      </c>
      <c r="V646" s="49">
        <f t="shared" si="145"/>
        <v>0</v>
      </c>
      <c r="W646" s="49"/>
      <c r="X646" s="49"/>
      <c r="Y646" s="49"/>
      <c r="Z646" s="49"/>
      <c r="AA646" s="49">
        <v>0</v>
      </c>
      <c r="AB646" s="49"/>
      <c r="AC646" s="49">
        <f t="shared" si="136"/>
        <v>0</v>
      </c>
      <c r="AD646" s="49"/>
      <c r="AE646" s="49"/>
      <c r="AF646" s="49"/>
      <c r="AG646" s="49"/>
      <c r="AH646" s="49"/>
      <c r="AI646" s="49"/>
      <c r="AJ646" s="49"/>
      <c r="AK646" s="49"/>
      <c r="AL646" s="49"/>
      <c r="AM646" s="49"/>
      <c r="AN646" s="49"/>
      <c r="AO646" s="49"/>
      <c r="AP646" s="49"/>
      <c r="AQ646" s="49"/>
      <c r="AR646" s="49"/>
      <c r="AS646" s="49"/>
      <c r="AT646" s="49"/>
      <c r="AU646" s="49"/>
      <c r="AV646" s="49"/>
      <c r="AW646" s="49"/>
      <c r="AX646" s="49"/>
      <c r="AY646" s="49"/>
      <c r="AZ646" s="73">
        <f t="shared" si="134"/>
        <v>0</v>
      </c>
    </row>
    <row r="647" spans="1:52" ht="20.100000000000001" customHeight="1">
      <c r="A647" s="68"/>
      <c r="B647" s="69"/>
      <c r="C647" s="240" t="s">
        <v>860</v>
      </c>
      <c r="D647" s="240"/>
      <c r="E647" s="241"/>
      <c r="F647" s="70"/>
      <c r="G647" s="71"/>
      <c r="H647" s="71"/>
      <c r="I647" s="71"/>
      <c r="J647" s="240" t="s">
        <v>195</v>
      </c>
      <c r="K647" s="241"/>
      <c r="L647" s="49">
        <v>1995000</v>
      </c>
      <c r="M647" s="49">
        <v>1995000</v>
      </c>
      <c r="N647" s="49">
        <v>1995000</v>
      </c>
      <c r="O647" s="49"/>
      <c r="P647" s="49"/>
      <c r="Q647" s="49">
        <f>SUM(N647:P647)</f>
        <v>1995000</v>
      </c>
      <c r="R647" s="72">
        <f>Q647/M647*100</f>
        <v>100</v>
      </c>
      <c r="S647" s="49">
        <f>M647-Q647</f>
        <v>0</v>
      </c>
      <c r="T647" s="49">
        <v>0</v>
      </c>
      <c r="U647" s="49">
        <f t="shared" si="137"/>
        <v>1995000</v>
      </c>
      <c r="V647" s="49">
        <f t="shared" si="145"/>
        <v>0</v>
      </c>
      <c r="W647" s="49"/>
      <c r="X647" s="49"/>
      <c r="Y647" s="49"/>
      <c r="Z647" s="49"/>
      <c r="AA647" s="49">
        <v>0</v>
      </c>
      <c r="AB647" s="49">
        <v>1995000</v>
      </c>
      <c r="AC647" s="49">
        <f t="shared" si="136"/>
        <v>0</v>
      </c>
      <c r="AD647" s="49">
        <f>AA647+T647+M647</f>
        <v>1995000</v>
      </c>
      <c r="AE647" s="49"/>
      <c r="AF647" s="49"/>
      <c r="AG647" s="49"/>
      <c r="AH647" s="49"/>
      <c r="AI647" s="49"/>
      <c r="AJ647" s="49"/>
      <c r="AK647" s="49">
        <f>Z647+Y647+X647+W647+N647+AG647+AE647+AJ647+AI647+AH647</f>
        <v>1995000</v>
      </c>
      <c r="AL647" s="49">
        <f>AK647/AD647*100</f>
        <v>100</v>
      </c>
      <c r="AM647" s="49"/>
      <c r="AN647" s="49"/>
      <c r="AO647" s="49"/>
      <c r="AP647" s="49"/>
      <c r="AQ647" s="49">
        <f>AK647+AM647+AN647+AO647+AP647</f>
        <v>1995000</v>
      </c>
      <c r="AR647" s="49">
        <f>AQ647/AB647*100</f>
        <v>100</v>
      </c>
      <c r="AS647" s="49">
        <f t="shared" si="135"/>
        <v>0</v>
      </c>
      <c r="AT647" s="49">
        <v>3091500</v>
      </c>
      <c r="AU647" s="49">
        <f t="shared" ref="AU647:AU652" si="146">AT647+U647</f>
        <v>5086500</v>
      </c>
      <c r="AV647" s="49">
        <f t="shared" ref="AV647:AV652" si="147">AK647</f>
        <v>1995000</v>
      </c>
      <c r="AW647" s="72">
        <f t="shared" ref="AW647:AW652" si="148">AV647/AU647*100</f>
        <v>39.221468593335302</v>
      </c>
      <c r="AX647" s="49">
        <f t="shared" ref="AX647:AX652" si="149">AU647-AV647</f>
        <v>3091500</v>
      </c>
      <c r="AY647" s="49">
        <f t="shared" si="133"/>
        <v>0</v>
      </c>
      <c r="AZ647" s="73">
        <f t="shared" si="134"/>
        <v>1995000</v>
      </c>
    </row>
    <row r="648" spans="1:52" ht="20.100000000000001" customHeight="1">
      <c r="A648" s="68"/>
      <c r="B648" s="69"/>
      <c r="C648" s="240" t="s">
        <v>861</v>
      </c>
      <c r="D648" s="240"/>
      <c r="E648" s="241"/>
      <c r="F648" s="70"/>
      <c r="G648" s="71"/>
      <c r="H648" s="71"/>
      <c r="I648" s="240" t="s">
        <v>157</v>
      </c>
      <c r="J648" s="240"/>
      <c r="K648" s="241"/>
      <c r="L648" s="49"/>
      <c r="M648" s="49"/>
      <c r="N648" s="49"/>
      <c r="O648" s="49"/>
      <c r="P648" s="49"/>
      <c r="Q648" s="49"/>
      <c r="R648" s="72"/>
      <c r="S648" s="49"/>
      <c r="T648" s="49">
        <v>0</v>
      </c>
      <c r="U648" s="49">
        <f t="shared" si="137"/>
        <v>0</v>
      </c>
      <c r="V648" s="49">
        <f t="shared" si="145"/>
        <v>0</v>
      </c>
      <c r="W648" s="49"/>
      <c r="X648" s="49"/>
      <c r="Y648" s="49"/>
      <c r="Z648" s="49"/>
      <c r="AA648" s="49">
        <v>0</v>
      </c>
      <c r="AB648" s="49"/>
      <c r="AC648" s="49">
        <f t="shared" si="136"/>
        <v>0</v>
      </c>
      <c r="AD648" s="49"/>
      <c r="AE648" s="49"/>
      <c r="AF648" s="49"/>
      <c r="AG648" s="49"/>
      <c r="AH648" s="49"/>
      <c r="AI648" s="49"/>
      <c r="AJ648" s="49"/>
      <c r="AK648" s="49"/>
      <c r="AL648" s="49"/>
      <c r="AM648" s="49"/>
      <c r="AN648" s="49"/>
      <c r="AO648" s="49"/>
      <c r="AP648" s="49"/>
      <c r="AQ648" s="49"/>
      <c r="AR648" s="49"/>
      <c r="AS648" s="49"/>
      <c r="AT648" s="49"/>
      <c r="AU648" s="49"/>
      <c r="AV648" s="49"/>
      <c r="AW648" s="49"/>
      <c r="AX648" s="49"/>
      <c r="AY648" s="49"/>
      <c r="AZ648" s="73">
        <f t="shared" si="134"/>
        <v>0</v>
      </c>
    </row>
    <row r="649" spans="1:52" ht="20.100000000000001" customHeight="1">
      <c r="A649" s="68"/>
      <c r="B649" s="69"/>
      <c r="C649" s="240" t="s">
        <v>862</v>
      </c>
      <c r="D649" s="240"/>
      <c r="E649" s="241"/>
      <c r="F649" s="70"/>
      <c r="G649" s="71"/>
      <c r="H649" s="71"/>
      <c r="I649" s="71"/>
      <c r="J649" s="240" t="s">
        <v>159</v>
      </c>
      <c r="K649" s="241"/>
      <c r="L649" s="49">
        <v>2100000</v>
      </c>
      <c r="M649" s="49">
        <v>2100000</v>
      </c>
      <c r="N649" s="49"/>
      <c r="O649" s="49"/>
      <c r="P649" s="49"/>
      <c r="Q649" s="49">
        <f>SUM(N649:P649)</f>
        <v>0</v>
      </c>
      <c r="R649" s="72">
        <f>Q649/M649*100</f>
        <v>0</v>
      </c>
      <c r="S649" s="49">
        <f>M649-Q649</f>
        <v>2100000</v>
      </c>
      <c r="T649" s="49">
        <v>0</v>
      </c>
      <c r="U649" s="49">
        <f t="shared" si="137"/>
        <v>2100000</v>
      </c>
      <c r="V649" s="49">
        <f t="shared" si="145"/>
        <v>2100000</v>
      </c>
      <c r="W649" s="49">
        <v>920000</v>
      </c>
      <c r="X649" s="49"/>
      <c r="Y649" s="49"/>
      <c r="Z649" s="49"/>
      <c r="AA649" s="49">
        <v>0</v>
      </c>
      <c r="AB649" s="49">
        <v>2100000</v>
      </c>
      <c r="AC649" s="49">
        <f t="shared" si="136"/>
        <v>0</v>
      </c>
      <c r="AD649" s="49">
        <f>AA649+T649+M649</f>
        <v>2100000</v>
      </c>
      <c r="AE649" s="49"/>
      <c r="AF649" s="49"/>
      <c r="AG649" s="49">
        <v>0</v>
      </c>
      <c r="AH649" s="49"/>
      <c r="AI649" s="49">
        <v>0</v>
      </c>
      <c r="AJ649" s="49">
        <f>1160000</f>
        <v>1160000</v>
      </c>
      <c r="AK649" s="49">
        <f>Z649+Y649+X649+W649+N649+AG649+AE649+AJ649+AI649+AH649</f>
        <v>2080000</v>
      </c>
      <c r="AL649" s="49">
        <f>AK649/AD649*100</f>
        <v>99.047619047619051</v>
      </c>
      <c r="AM649" s="49"/>
      <c r="AN649" s="49"/>
      <c r="AO649" s="49"/>
      <c r="AP649" s="49"/>
      <c r="AQ649" s="49">
        <f>AK649+AM649+AN649+AO649+AP649</f>
        <v>2080000</v>
      </c>
      <c r="AR649" s="49">
        <f>AQ649/AB649*100</f>
        <v>99.047619047619051</v>
      </c>
      <c r="AS649" s="49">
        <f t="shared" si="135"/>
        <v>20000</v>
      </c>
      <c r="AT649" s="49">
        <v>3091500</v>
      </c>
      <c r="AU649" s="49">
        <f t="shared" si="146"/>
        <v>5191500</v>
      </c>
      <c r="AV649" s="49">
        <f t="shared" si="147"/>
        <v>2080000</v>
      </c>
      <c r="AW649" s="72">
        <f t="shared" si="148"/>
        <v>40.065491669074447</v>
      </c>
      <c r="AX649" s="49">
        <f t="shared" si="149"/>
        <v>3111500</v>
      </c>
      <c r="AY649" s="49">
        <f t="shared" si="133"/>
        <v>0.95238095238095244</v>
      </c>
      <c r="AZ649" s="73">
        <f t="shared" si="134"/>
        <v>2080000</v>
      </c>
    </row>
    <row r="650" spans="1:52" ht="20.100000000000001" customHeight="1">
      <c r="A650" s="68"/>
      <c r="B650" s="69"/>
      <c r="C650" s="240" t="s">
        <v>863</v>
      </c>
      <c r="D650" s="240"/>
      <c r="E650" s="241"/>
      <c r="F650" s="70"/>
      <c r="G650" s="71"/>
      <c r="H650" s="71"/>
      <c r="I650" s="71"/>
      <c r="J650" s="240" t="s">
        <v>207</v>
      </c>
      <c r="K650" s="241"/>
      <c r="L650" s="49">
        <v>1127500</v>
      </c>
      <c r="M650" s="49">
        <v>1127500</v>
      </c>
      <c r="N650" s="49"/>
      <c r="O650" s="49"/>
      <c r="P650" s="49"/>
      <c r="Q650" s="49">
        <f>SUM(N650:P650)</f>
        <v>0</v>
      </c>
      <c r="R650" s="72">
        <f>Q650/M650*100</f>
        <v>0</v>
      </c>
      <c r="S650" s="49">
        <f>M650-Q650</f>
        <v>1127500</v>
      </c>
      <c r="T650" s="49">
        <v>0</v>
      </c>
      <c r="U650" s="49">
        <f t="shared" si="137"/>
        <v>1127500</v>
      </c>
      <c r="V650" s="49">
        <f t="shared" si="145"/>
        <v>1127500</v>
      </c>
      <c r="W650" s="49">
        <v>1090000</v>
      </c>
      <c r="X650" s="49"/>
      <c r="Y650" s="49"/>
      <c r="Z650" s="49"/>
      <c r="AA650" s="49">
        <v>0</v>
      </c>
      <c r="AB650" s="49">
        <v>1127500</v>
      </c>
      <c r="AC650" s="49">
        <f t="shared" si="136"/>
        <v>0</v>
      </c>
      <c r="AD650" s="49">
        <f>AA650+T650+M650</f>
        <v>1127500</v>
      </c>
      <c r="AE650" s="49"/>
      <c r="AF650" s="49"/>
      <c r="AG650" s="49">
        <v>0</v>
      </c>
      <c r="AH650" s="49"/>
      <c r="AI650" s="49">
        <v>0</v>
      </c>
      <c r="AJ650" s="49">
        <v>0</v>
      </c>
      <c r="AK650" s="49">
        <f>Z650+Y650+X650+W650+N650+AG650+AE650+AJ650+AI650+AH650</f>
        <v>1090000</v>
      </c>
      <c r="AL650" s="49">
        <f>AK650/AD650*100</f>
        <v>96.674057649667418</v>
      </c>
      <c r="AM650" s="49"/>
      <c r="AN650" s="49"/>
      <c r="AO650" s="49"/>
      <c r="AP650" s="49"/>
      <c r="AQ650" s="49">
        <f>AK650+AM650+AN650+AO650+AP650</f>
        <v>1090000</v>
      </c>
      <c r="AR650" s="49">
        <f>AQ650/AB650*100</f>
        <v>96.674057649667418</v>
      </c>
      <c r="AS650" s="49">
        <f t="shared" si="135"/>
        <v>37500</v>
      </c>
      <c r="AT650" s="49">
        <v>3091500</v>
      </c>
      <c r="AU650" s="49">
        <f t="shared" si="146"/>
        <v>4219000</v>
      </c>
      <c r="AV650" s="49">
        <f t="shared" si="147"/>
        <v>1090000</v>
      </c>
      <c r="AW650" s="72">
        <f t="shared" si="148"/>
        <v>25.835506044086276</v>
      </c>
      <c r="AX650" s="49">
        <f t="shared" si="149"/>
        <v>3129000</v>
      </c>
      <c r="AY650" s="49">
        <f t="shared" si="133"/>
        <v>3.325942350332594</v>
      </c>
      <c r="AZ650" s="73">
        <f t="shared" si="134"/>
        <v>1090000</v>
      </c>
    </row>
    <row r="651" spans="1:52" ht="20.100000000000001" customHeight="1">
      <c r="A651" s="68"/>
      <c r="B651" s="69"/>
      <c r="C651" s="240" t="s">
        <v>864</v>
      </c>
      <c r="D651" s="240"/>
      <c r="E651" s="241"/>
      <c r="F651" s="70"/>
      <c r="G651" s="71"/>
      <c r="H651" s="71"/>
      <c r="I651" s="240" t="s">
        <v>402</v>
      </c>
      <c r="J651" s="240"/>
      <c r="K651" s="241"/>
      <c r="L651" s="49"/>
      <c r="M651" s="49"/>
      <c r="N651" s="49"/>
      <c r="O651" s="49"/>
      <c r="P651" s="49"/>
      <c r="Q651" s="49"/>
      <c r="R651" s="72"/>
      <c r="S651" s="49"/>
      <c r="T651" s="49">
        <v>0</v>
      </c>
      <c r="U651" s="49">
        <f t="shared" si="137"/>
        <v>0</v>
      </c>
      <c r="V651" s="49">
        <f t="shared" si="145"/>
        <v>0</v>
      </c>
      <c r="W651" s="49"/>
      <c r="X651" s="49"/>
      <c r="Y651" s="49"/>
      <c r="Z651" s="49"/>
      <c r="AA651" s="49">
        <v>0</v>
      </c>
      <c r="AB651" s="49"/>
      <c r="AC651" s="49">
        <f t="shared" si="136"/>
        <v>0</v>
      </c>
      <c r="AD651" s="49"/>
      <c r="AE651" s="49"/>
      <c r="AF651" s="49"/>
      <c r="AG651" s="49"/>
      <c r="AH651" s="49"/>
      <c r="AI651" s="49"/>
      <c r="AJ651" s="49"/>
      <c r="AK651" s="49"/>
      <c r="AL651" s="49"/>
      <c r="AM651" s="49"/>
      <c r="AN651" s="49"/>
      <c r="AO651" s="49"/>
      <c r="AP651" s="49"/>
      <c r="AQ651" s="49"/>
      <c r="AR651" s="49"/>
      <c r="AS651" s="49"/>
      <c r="AT651" s="49"/>
      <c r="AU651" s="49"/>
      <c r="AV651" s="49"/>
      <c r="AW651" s="49"/>
      <c r="AX651" s="49"/>
      <c r="AY651" s="49"/>
      <c r="AZ651" s="73">
        <f t="shared" si="134"/>
        <v>0</v>
      </c>
    </row>
    <row r="652" spans="1:52" ht="20.100000000000001" customHeight="1">
      <c r="A652" s="68"/>
      <c r="B652" s="69"/>
      <c r="C652" s="240" t="s">
        <v>865</v>
      </c>
      <c r="D652" s="240"/>
      <c r="E652" s="241"/>
      <c r="F652" s="70"/>
      <c r="G652" s="71"/>
      <c r="H652" s="71"/>
      <c r="I652" s="71"/>
      <c r="J652" s="240" t="s">
        <v>404</v>
      </c>
      <c r="K652" s="241"/>
      <c r="L652" s="49">
        <v>200000</v>
      </c>
      <c r="M652" s="49">
        <v>200000</v>
      </c>
      <c r="N652" s="49">
        <v>200000</v>
      </c>
      <c r="O652" s="49"/>
      <c r="P652" s="49"/>
      <c r="Q652" s="49">
        <f>SUM(N652:P652)</f>
        <v>200000</v>
      </c>
      <c r="R652" s="72">
        <f>Q652/M652*100</f>
        <v>100</v>
      </c>
      <c r="S652" s="49">
        <f>M652-Q652</f>
        <v>0</v>
      </c>
      <c r="T652" s="49">
        <v>0</v>
      </c>
      <c r="U652" s="49">
        <f t="shared" si="137"/>
        <v>200000</v>
      </c>
      <c r="V652" s="49">
        <f t="shared" si="145"/>
        <v>0</v>
      </c>
      <c r="W652" s="49"/>
      <c r="X652" s="49"/>
      <c r="Y652" s="49"/>
      <c r="Z652" s="49"/>
      <c r="AA652" s="49">
        <v>0</v>
      </c>
      <c r="AB652" s="49">
        <v>200000</v>
      </c>
      <c r="AC652" s="49">
        <f t="shared" si="136"/>
        <v>0</v>
      </c>
      <c r="AD652" s="49">
        <f>AA652+T652+M652</f>
        <v>200000</v>
      </c>
      <c r="AE652" s="49"/>
      <c r="AF652" s="49"/>
      <c r="AG652" s="49"/>
      <c r="AH652" s="49"/>
      <c r="AI652" s="49"/>
      <c r="AJ652" s="49"/>
      <c r="AK652" s="49">
        <f>Z652+Y652+X652+W652+N652+AG652+AE652+AJ652+AI652+AH652</f>
        <v>200000</v>
      </c>
      <c r="AL652" s="49">
        <f>AK652/AD652*100</f>
        <v>100</v>
      </c>
      <c r="AM652" s="49"/>
      <c r="AN652" s="49"/>
      <c r="AO652" s="49"/>
      <c r="AP652" s="49"/>
      <c r="AQ652" s="49">
        <f>AK652+AM652+AN652+AO652+AP652</f>
        <v>200000</v>
      </c>
      <c r="AR652" s="49">
        <f>AQ652/AB652*100</f>
        <v>100</v>
      </c>
      <c r="AS652" s="49">
        <f t="shared" si="135"/>
        <v>0</v>
      </c>
      <c r="AT652" s="49">
        <v>3091500</v>
      </c>
      <c r="AU652" s="49">
        <f t="shared" si="146"/>
        <v>3291500</v>
      </c>
      <c r="AV652" s="49">
        <f t="shared" si="147"/>
        <v>200000</v>
      </c>
      <c r="AW652" s="72">
        <f t="shared" si="148"/>
        <v>6.0762570256721862</v>
      </c>
      <c r="AX652" s="49">
        <f t="shared" si="149"/>
        <v>3091500</v>
      </c>
      <c r="AY652" s="49">
        <f t="shared" si="133"/>
        <v>0</v>
      </c>
      <c r="AZ652" s="73">
        <f t="shared" si="134"/>
        <v>200000</v>
      </c>
    </row>
    <row r="653" spans="1:52" ht="20.100000000000001" customHeight="1">
      <c r="A653" s="62">
        <v>38</v>
      </c>
      <c r="B653" s="63"/>
      <c r="C653" s="242" t="s">
        <v>866</v>
      </c>
      <c r="D653" s="242"/>
      <c r="E653" s="243"/>
      <c r="F653" s="64"/>
      <c r="G653" s="244" t="s">
        <v>867</v>
      </c>
      <c r="H653" s="244"/>
      <c r="I653" s="244"/>
      <c r="J653" s="244"/>
      <c r="K653" s="245"/>
      <c r="L653" s="65">
        <f>SUM(L656:L675)</f>
        <v>339481000</v>
      </c>
      <c r="M653" s="65">
        <f>SUM(M656:M675)</f>
        <v>51849000</v>
      </c>
      <c r="N653" s="65">
        <f>SUM(N656:N675)</f>
        <v>43914375</v>
      </c>
      <c r="O653" s="65">
        <f>SUM(O656:O675)</f>
        <v>0</v>
      </c>
      <c r="P653" s="65">
        <f>SUM(P656:P675)</f>
        <v>0</v>
      </c>
      <c r="Q653" s="65">
        <f>SUM(N653:P653)</f>
        <v>43914375</v>
      </c>
      <c r="R653" s="66">
        <f>Q653/M653*100</f>
        <v>84.696667245269921</v>
      </c>
      <c r="S653" s="65">
        <f>M653-Q653</f>
        <v>7934625</v>
      </c>
      <c r="T653" s="65">
        <f>SUM(T656:T675)</f>
        <v>204015000</v>
      </c>
      <c r="U653" s="65">
        <f>T653+M653</f>
        <v>255864000</v>
      </c>
      <c r="V653" s="65">
        <f>T653+S653</f>
        <v>211949625</v>
      </c>
      <c r="W653" s="65">
        <f>SUM(W656:W675)</f>
        <v>2250000</v>
      </c>
      <c r="X653" s="65">
        <f>SUM(X656:X675)</f>
        <v>0</v>
      </c>
      <c r="Y653" s="65">
        <f>SUM(Y656:Y675)</f>
        <v>141408250</v>
      </c>
      <c r="Z653" s="65"/>
      <c r="AA653" s="65">
        <f>SUM(AA656:AA675)</f>
        <v>62381500</v>
      </c>
      <c r="AB653" s="65">
        <f>SUM(AB656:AB675)</f>
        <v>339481000</v>
      </c>
      <c r="AC653" s="65">
        <f t="shared" si="136"/>
        <v>0</v>
      </c>
      <c r="AD653" s="65">
        <f>AA653+T653+M653</f>
        <v>318245500</v>
      </c>
      <c r="AE653" s="65">
        <f t="shared" ref="AE653:AK653" si="150">SUM(AE656:AE675)</f>
        <v>0</v>
      </c>
      <c r="AF653" s="65">
        <f t="shared" si="150"/>
        <v>0</v>
      </c>
      <c r="AG653" s="65">
        <f t="shared" si="150"/>
        <v>3080000</v>
      </c>
      <c r="AH653" s="65">
        <f t="shared" si="150"/>
        <v>0</v>
      </c>
      <c r="AI653" s="65">
        <f t="shared" si="150"/>
        <v>0</v>
      </c>
      <c r="AJ653" s="65">
        <f t="shared" si="150"/>
        <v>37203160</v>
      </c>
      <c r="AK653" s="65">
        <f t="shared" si="150"/>
        <v>226481785</v>
      </c>
      <c r="AL653" s="65">
        <f>AK653/AB653*100</f>
        <v>66.714126858351435</v>
      </c>
      <c r="AM653" s="65">
        <f>SUM(AM656:AM675)</f>
        <v>0</v>
      </c>
      <c r="AN653" s="65">
        <f>SUM(AN656:AN675)</f>
        <v>0</v>
      </c>
      <c r="AO653" s="42">
        <f>SUM(AO656:AO675)</f>
        <v>43094750</v>
      </c>
      <c r="AP653" s="65">
        <f>SUM(AP656:AP675)</f>
        <v>0</v>
      </c>
      <c r="AQ653" s="65">
        <f>AK653+AM653+AN653+AO653+AP653</f>
        <v>269576535</v>
      </c>
      <c r="AR653" s="65">
        <f>AQ653/AB653*100</f>
        <v>79.40843081056083</v>
      </c>
      <c r="AS653" s="65">
        <f>AB653-AQ653</f>
        <v>69904465</v>
      </c>
      <c r="AT653" s="65">
        <f>SUM(AT656:AT662)</f>
        <v>12366000</v>
      </c>
      <c r="AU653" s="65">
        <f>AT653+U653</f>
        <v>268230000</v>
      </c>
      <c r="AV653" s="65">
        <f>AK653</f>
        <v>226481785</v>
      </c>
      <c r="AW653" s="66">
        <f>AV653/AU653*100</f>
        <v>84.435665287253485</v>
      </c>
      <c r="AX653" s="65">
        <f>AU653-AV653</f>
        <v>41748215</v>
      </c>
      <c r="AY653" s="65">
        <f>AS653/AB653*100</f>
        <v>20.591569189439173</v>
      </c>
      <c r="AZ653" s="67">
        <f t="shared" si="134"/>
        <v>226481785</v>
      </c>
    </row>
    <row r="654" spans="1:52" ht="20.100000000000001" customHeight="1">
      <c r="A654" s="83"/>
      <c r="B654" s="69"/>
      <c r="C654" s="240" t="s">
        <v>868</v>
      </c>
      <c r="D654" s="240"/>
      <c r="E654" s="241"/>
      <c r="F654" s="70"/>
      <c r="G654" s="71"/>
      <c r="H654" s="240" t="s">
        <v>10</v>
      </c>
      <c r="I654" s="240"/>
      <c r="J654" s="240"/>
      <c r="K654" s="241"/>
      <c r="L654" s="49"/>
      <c r="M654" s="49"/>
      <c r="N654" s="49"/>
      <c r="O654" s="49"/>
      <c r="P654" s="49"/>
      <c r="Q654" s="49"/>
      <c r="R654" s="72"/>
      <c r="S654" s="49"/>
      <c r="T654" s="49"/>
      <c r="U654" s="49"/>
      <c r="V654" s="49"/>
      <c r="W654" s="49"/>
      <c r="X654" s="49"/>
      <c r="Y654" s="49"/>
      <c r="Z654" s="49"/>
      <c r="AA654" s="49"/>
      <c r="AB654" s="49"/>
      <c r="AC654" s="49">
        <f t="shared" si="136"/>
        <v>0</v>
      </c>
      <c r="AD654" s="49"/>
      <c r="AE654" s="49"/>
      <c r="AF654" s="49"/>
      <c r="AG654" s="49"/>
      <c r="AH654" s="49"/>
      <c r="AI654" s="49"/>
      <c r="AJ654" s="49"/>
      <c r="AK654" s="49"/>
      <c r="AL654" s="49"/>
      <c r="AM654" s="49"/>
      <c r="AN654" s="49"/>
      <c r="AO654" s="49"/>
      <c r="AP654" s="49"/>
      <c r="AQ654" s="49"/>
      <c r="AR654" s="49"/>
      <c r="AS654" s="49"/>
      <c r="AT654" s="49"/>
      <c r="AU654" s="49"/>
      <c r="AV654" s="49"/>
      <c r="AW654" s="49"/>
      <c r="AX654" s="49"/>
      <c r="AY654" s="49"/>
      <c r="AZ654" s="73">
        <f t="shared" si="134"/>
        <v>0</v>
      </c>
    </row>
    <row r="655" spans="1:52" ht="20.100000000000001" customHeight="1">
      <c r="A655" s="83"/>
      <c r="B655" s="69"/>
      <c r="C655" s="240" t="s">
        <v>869</v>
      </c>
      <c r="D655" s="240"/>
      <c r="E655" s="241"/>
      <c r="F655" s="70"/>
      <c r="G655" s="71"/>
      <c r="H655" s="71"/>
      <c r="I655" s="240" t="s">
        <v>177</v>
      </c>
      <c r="J655" s="240"/>
      <c r="K655" s="241"/>
      <c r="L655" s="49"/>
      <c r="M655" s="49"/>
      <c r="N655" s="49"/>
      <c r="O655" s="49"/>
      <c r="P655" s="49"/>
      <c r="Q655" s="49"/>
      <c r="R655" s="72"/>
      <c r="S655" s="49"/>
      <c r="T655" s="49"/>
      <c r="U655" s="49"/>
      <c r="V655" s="49"/>
      <c r="W655" s="49"/>
      <c r="X655" s="49"/>
      <c r="Y655" s="49"/>
      <c r="Z655" s="49"/>
      <c r="AA655" s="49"/>
      <c r="AB655" s="49"/>
      <c r="AC655" s="49">
        <f t="shared" si="136"/>
        <v>0</v>
      </c>
      <c r="AD655" s="49"/>
      <c r="AE655" s="49"/>
      <c r="AF655" s="49"/>
      <c r="AG655" s="49"/>
      <c r="AH655" s="49"/>
      <c r="AI655" s="49"/>
      <c r="AJ655" s="49"/>
      <c r="AK655" s="49"/>
      <c r="AL655" s="49"/>
      <c r="AM655" s="49"/>
      <c r="AN655" s="49"/>
      <c r="AO655" s="49"/>
      <c r="AP655" s="49"/>
      <c r="AQ655" s="49"/>
      <c r="AR655" s="49"/>
      <c r="AS655" s="49"/>
      <c r="AT655" s="49"/>
      <c r="AU655" s="49"/>
      <c r="AV655" s="49"/>
      <c r="AW655" s="49"/>
      <c r="AX655" s="49"/>
      <c r="AY655" s="49"/>
      <c r="AZ655" s="73">
        <f t="shared" si="134"/>
        <v>0</v>
      </c>
    </row>
    <row r="656" spans="1:52" ht="20.100000000000001" customHeight="1">
      <c r="A656" s="83"/>
      <c r="B656" s="69"/>
      <c r="C656" s="240" t="s">
        <v>870</v>
      </c>
      <c r="D656" s="240"/>
      <c r="E656" s="241"/>
      <c r="F656" s="70"/>
      <c r="G656" s="71"/>
      <c r="H656" s="71"/>
      <c r="I656" s="71"/>
      <c r="J656" s="240" t="s">
        <v>283</v>
      </c>
      <c r="K656" s="241"/>
      <c r="L656" s="49">
        <v>38875000</v>
      </c>
      <c r="M656" s="49">
        <v>0</v>
      </c>
      <c r="N656" s="49"/>
      <c r="O656" s="49"/>
      <c r="P656" s="49"/>
      <c r="Q656" s="49">
        <f>SUM(N656:P656)</f>
        <v>0</v>
      </c>
      <c r="R656" s="72"/>
      <c r="S656" s="49">
        <f>M656-Q656</f>
        <v>0</v>
      </c>
      <c r="T656" s="49">
        <v>23325000</v>
      </c>
      <c r="U656" s="49">
        <f>T656+M656</f>
        <v>23325000</v>
      </c>
      <c r="V656" s="49">
        <f>T656+S656</f>
        <v>23325000</v>
      </c>
      <c r="W656" s="49"/>
      <c r="X656" s="49"/>
      <c r="Y656" s="49">
        <v>15350000</v>
      </c>
      <c r="Z656" s="49"/>
      <c r="AA656" s="49">
        <v>15550000</v>
      </c>
      <c r="AB656" s="49">
        <v>38875000</v>
      </c>
      <c r="AC656" s="49">
        <f t="shared" si="136"/>
        <v>0</v>
      </c>
      <c r="AD656" s="49">
        <f>AA656+T656+M656</f>
        <v>38875000</v>
      </c>
      <c r="AE656" s="49"/>
      <c r="AF656" s="49"/>
      <c r="AG656" s="49"/>
      <c r="AH656" s="49"/>
      <c r="AI656" s="49"/>
      <c r="AJ656" s="49">
        <v>22800000</v>
      </c>
      <c r="AK656" s="49">
        <f>Z656+Y656+X656+W656+N656+AG656+AE656+AJ656+AI656+AH656</f>
        <v>38150000</v>
      </c>
      <c r="AL656" s="49">
        <f>AK656/AD656*100</f>
        <v>98.135048231511263</v>
      </c>
      <c r="AM656" s="49"/>
      <c r="AN656" s="49"/>
      <c r="AO656" s="49"/>
      <c r="AP656" s="49"/>
      <c r="AQ656" s="49">
        <f>AK656+AM656+AN656+AO656+AP656</f>
        <v>38150000</v>
      </c>
      <c r="AR656" s="49">
        <f>AQ656/AB656*100</f>
        <v>98.135048231511263</v>
      </c>
      <c r="AS656" s="49">
        <f t="shared" si="135"/>
        <v>725000</v>
      </c>
      <c r="AT656" s="49">
        <v>3091500</v>
      </c>
      <c r="AU656" s="49">
        <f>AT656+U656</f>
        <v>26416500</v>
      </c>
      <c r="AV656" s="49">
        <f>AK656</f>
        <v>38150000</v>
      </c>
      <c r="AW656" s="72">
        <f>AV656/AU656*100</f>
        <v>144.41731493574093</v>
      </c>
      <c r="AX656" s="49">
        <f>AU656-AV656</f>
        <v>-11733500</v>
      </c>
      <c r="AY656" s="49">
        <f t="shared" si="133"/>
        <v>1.864951768488746</v>
      </c>
      <c r="AZ656" s="73">
        <f t="shared" si="134"/>
        <v>38150000</v>
      </c>
    </row>
    <row r="657" spans="1:54" ht="20.100000000000001" customHeight="1">
      <c r="A657" s="83"/>
      <c r="B657" s="69"/>
      <c r="C657" s="240" t="s">
        <v>871</v>
      </c>
      <c r="D657" s="240"/>
      <c r="E657" s="241"/>
      <c r="F657" s="70"/>
      <c r="G657" s="71"/>
      <c r="H657" s="71"/>
      <c r="I657" s="240" t="s">
        <v>181</v>
      </c>
      <c r="J657" s="240"/>
      <c r="K657" s="241"/>
      <c r="L657" s="49"/>
      <c r="M657" s="49"/>
      <c r="N657" s="49"/>
      <c r="O657" s="49"/>
      <c r="P657" s="49"/>
      <c r="Q657" s="49"/>
      <c r="R657" s="72"/>
      <c r="S657" s="49"/>
      <c r="T657" s="49"/>
      <c r="U657" s="49"/>
      <c r="V657" s="49"/>
      <c r="W657" s="49"/>
      <c r="X657" s="49"/>
      <c r="Y657" s="49"/>
      <c r="Z657" s="49"/>
      <c r="AA657" s="49"/>
      <c r="AB657" s="49"/>
      <c r="AC657" s="49">
        <f t="shared" si="136"/>
        <v>0</v>
      </c>
      <c r="AD657" s="49"/>
      <c r="AE657" s="49"/>
      <c r="AF657" s="49"/>
      <c r="AG657" s="49"/>
      <c r="AH657" s="49"/>
      <c r="AI657" s="49"/>
      <c r="AJ657" s="49"/>
      <c r="AK657" s="49"/>
      <c r="AL657" s="49"/>
      <c r="AM657" s="49"/>
      <c r="AN657" s="49"/>
      <c r="AO657" s="49"/>
      <c r="AP657" s="49"/>
      <c r="AQ657" s="49"/>
      <c r="AR657" s="49"/>
      <c r="AS657" s="49"/>
      <c r="AT657" s="49"/>
      <c r="AU657" s="49"/>
      <c r="AV657" s="49"/>
      <c r="AW657" s="49"/>
      <c r="AX657" s="49"/>
      <c r="AY657" s="49"/>
      <c r="AZ657" s="73">
        <f t="shared" si="134"/>
        <v>0</v>
      </c>
    </row>
    <row r="658" spans="1:54" ht="20.100000000000001" customHeight="1">
      <c r="A658" s="83"/>
      <c r="B658" s="69"/>
      <c r="C658" s="240" t="s">
        <v>872</v>
      </c>
      <c r="D658" s="240"/>
      <c r="E658" s="241"/>
      <c r="F658" s="70"/>
      <c r="G658" s="71"/>
      <c r="H658" s="71"/>
      <c r="I658" s="71"/>
      <c r="J658" s="240" t="s">
        <v>183</v>
      </c>
      <c r="K658" s="241"/>
      <c r="L658" s="49">
        <v>2760000</v>
      </c>
      <c r="M658" s="49">
        <v>0</v>
      </c>
      <c r="N658" s="49"/>
      <c r="O658" s="49"/>
      <c r="P658" s="49"/>
      <c r="Q658" s="49">
        <f>SUM(N658:P658)</f>
        <v>0</v>
      </c>
      <c r="R658" s="72"/>
      <c r="S658" s="49">
        <f>M658-Q658</f>
        <v>0</v>
      </c>
      <c r="T658" s="49">
        <v>1380000</v>
      </c>
      <c r="U658" s="49">
        <f>T658+M658</f>
        <v>1380000</v>
      </c>
      <c r="V658" s="49">
        <f>T658+S658</f>
        <v>1380000</v>
      </c>
      <c r="W658" s="49"/>
      <c r="X658" s="49"/>
      <c r="Y658" s="49">
        <v>1374000</v>
      </c>
      <c r="Z658" s="49"/>
      <c r="AA658" s="49">
        <v>1380000</v>
      </c>
      <c r="AB658" s="49">
        <v>2760000</v>
      </c>
      <c r="AC658" s="49">
        <f>AB658-L658</f>
        <v>0</v>
      </c>
      <c r="AD658" s="49">
        <f>AA658+T658+M658</f>
        <v>2760000</v>
      </c>
      <c r="AE658" s="49"/>
      <c r="AF658" s="49"/>
      <c r="AG658" s="49"/>
      <c r="AH658" s="49"/>
      <c r="AI658" s="49"/>
      <c r="AJ658" s="49">
        <v>1377500</v>
      </c>
      <c r="AK658" s="49">
        <f>Z658+Y658+X658+W658+N658+AG658+AE658+AJ658+AI658+AH658</f>
        <v>2751500</v>
      </c>
      <c r="AL658" s="49">
        <f>AK658/AD658*100</f>
        <v>99.692028985507235</v>
      </c>
      <c r="AM658" s="49"/>
      <c r="AN658" s="49"/>
      <c r="AO658" s="49"/>
      <c r="AP658" s="49"/>
      <c r="AQ658" s="49">
        <f>AK658+AM658+AN658+AO658+AP658</f>
        <v>2751500</v>
      </c>
      <c r="AR658" s="49">
        <f>AQ658/AB658*100</f>
        <v>99.692028985507235</v>
      </c>
      <c r="AS658" s="49">
        <f t="shared" si="135"/>
        <v>8500</v>
      </c>
      <c r="AT658" s="49">
        <v>3091500</v>
      </c>
      <c r="AU658" s="49">
        <f>AT658+U658</f>
        <v>4471500</v>
      </c>
      <c r="AV658" s="49">
        <f>AK658</f>
        <v>2751500</v>
      </c>
      <c r="AW658" s="72">
        <f>AV658/AU658*100</f>
        <v>61.534160796153415</v>
      </c>
      <c r="AX658" s="49">
        <f>AU658-AV658</f>
        <v>1720000</v>
      </c>
      <c r="AY658" s="49">
        <f t="shared" si="133"/>
        <v>0.30797101449275366</v>
      </c>
      <c r="AZ658" s="73">
        <f t="shared" si="134"/>
        <v>2751500</v>
      </c>
    </row>
    <row r="659" spans="1:54" ht="20.100000000000001" customHeight="1">
      <c r="A659" s="83"/>
      <c r="B659" s="69"/>
      <c r="C659" s="240" t="s">
        <v>873</v>
      </c>
      <c r="D659" s="240"/>
      <c r="E659" s="241"/>
      <c r="F659" s="70"/>
      <c r="G659" s="71"/>
      <c r="H659" s="71"/>
      <c r="I659" s="71"/>
      <c r="J659" s="240" t="s">
        <v>874</v>
      </c>
      <c r="K659" s="241"/>
      <c r="L659" s="49">
        <v>0</v>
      </c>
      <c r="M659" s="49">
        <v>0</v>
      </c>
      <c r="N659" s="49"/>
      <c r="O659" s="49"/>
      <c r="P659" s="49"/>
      <c r="Q659" s="49">
        <f>SUM(N659:P659)</f>
        <v>0</v>
      </c>
      <c r="R659" s="72"/>
      <c r="S659" s="49">
        <f>M659-Q659</f>
        <v>0</v>
      </c>
      <c r="T659" s="49">
        <v>1380000</v>
      </c>
      <c r="U659" s="49">
        <f>T659+M659</f>
        <v>1380000</v>
      </c>
      <c r="V659" s="49">
        <f>T659+S659</f>
        <v>1380000</v>
      </c>
      <c r="W659" s="49"/>
      <c r="X659" s="49"/>
      <c r="Y659" s="49">
        <v>1374000</v>
      </c>
      <c r="Z659" s="49"/>
      <c r="AA659" s="49">
        <v>1380000</v>
      </c>
      <c r="AB659" s="49">
        <v>4360000</v>
      </c>
      <c r="AC659" s="49">
        <f t="shared" si="136"/>
        <v>4360000</v>
      </c>
      <c r="AD659" s="49">
        <f>AA659+T659+M659</f>
        <v>2760000</v>
      </c>
      <c r="AE659" s="49"/>
      <c r="AF659" s="49"/>
      <c r="AG659" s="49"/>
      <c r="AH659" s="49"/>
      <c r="AI659" s="49"/>
      <c r="AJ659" s="49">
        <v>0</v>
      </c>
      <c r="AK659" s="49">
        <v>0</v>
      </c>
      <c r="AL659" s="49">
        <f>AK659/AD659*100</f>
        <v>0</v>
      </c>
      <c r="AM659" s="49"/>
      <c r="AN659" s="49"/>
      <c r="AO659" s="42">
        <v>4325000</v>
      </c>
      <c r="AP659" s="49"/>
      <c r="AQ659" s="49">
        <f>AK659+AM659+AN659+AO659+AP659</f>
        <v>4325000</v>
      </c>
      <c r="AR659" s="49">
        <f>AQ659/AB659*100</f>
        <v>99.197247706422019</v>
      </c>
      <c r="AS659" s="49">
        <f t="shared" si="135"/>
        <v>35000</v>
      </c>
      <c r="AT659" s="49">
        <v>3091500</v>
      </c>
      <c r="AU659" s="49">
        <f>AT659+U659</f>
        <v>4471500</v>
      </c>
      <c r="AV659" s="49">
        <f>AK659</f>
        <v>0</v>
      </c>
      <c r="AW659" s="72">
        <f>AV659/AU659*100</f>
        <v>0</v>
      </c>
      <c r="AX659" s="49">
        <f>AU659-AV659</f>
        <v>4471500</v>
      </c>
      <c r="AY659" s="49">
        <f t="shared" si="133"/>
        <v>0.80275229357798172</v>
      </c>
      <c r="AZ659" s="73">
        <f t="shared" si="134"/>
        <v>0</v>
      </c>
    </row>
    <row r="660" spans="1:54" ht="20.100000000000001" customHeight="1">
      <c r="A660" s="83"/>
      <c r="B660" s="69"/>
      <c r="C660" s="240" t="s">
        <v>875</v>
      </c>
      <c r="D660" s="240"/>
      <c r="E660" s="241"/>
      <c r="F660" s="70"/>
      <c r="G660" s="71"/>
      <c r="H660" s="240" t="s">
        <v>143</v>
      </c>
      <c r="I660" s="240"/>
      <c r="J660" s="240"/>
      <c r="K660" s="241"/>
      <c r="L660" s="49"/>
      <c r="M660" s="49"/>
      <c r="N660" s="49"/>
      <c r="O660" s="49"/>
      <c r="P660" s="49"/>
      <c r="Q660" s="49"/>
      <c r="R660" s="72"/>
      <c r="S660" s="49"/>
      <c r="T660" s="49"/>
      <c r="U660" s="49"/>
      <c r="V660" s="49"/>
      <c r="W660" s="49"/>
      <c r="X660" s="49"/>
      <c r="Y660" s="49"/>
      <c r="Z660" s="49"/>
      <c r="AA660" s="49"/>
      <c r="AB660" s="49"/>
      <c r="AC660" s="49">
        <f t="shared" si="136"/>
        <v>0</v>
      </c>
      <c r="AD660" s="49"/>
      <c r="AE660" s="49"/>
      <c r="AF660" s="49"/>
      <c r="AG660" s="49"/>
      <c r="AH660" s="49"/>
      <c r="AI660" s="49"/>
      <c r="AJ660" s="49"/>
      <c r="AK660" s="49"/>
      <c r="AL660" s="49"/>
      <c r="AM660" s="49"/>
      <c r="AN660" s="49"/>
      <c r="AO660" s="49"/>
      <c r="AP660" s="49"/>
      <c r="AQ660" s="49"/>
      <c r="AR660" s="49"/>
      <c r="AS660" s="49"/>
      <c r="AT660" s="49"/>
      <c r="AU660" s="49"/>
      <c r="AV660" s="49"/>
      <c r="AW660" s="49"/>
      <c r="AX660" s="49"/>
      <c r="AY660" s="49"/>
      <c r="AZ660" s="73">
        <f t="shared" si="134"/>
        <v>0</v>
      </c>
    </row>
    <row r="661" spans="1:54" ht="20.100000000000001" customHeight="1">
      <c r="A661" s="83"/>
      <c r="B661" s="69"/>
      <c r="C661" s="240" t="s">
        <v>876</v>
      </c>
      <c r="D661" s="240"/>
      <c r="E661" s="241"/>
      <c r="F661" s="70"/>
      <c r="G661" s="71"/>
      <c r="H661" s="71"/>
      <c r="I661" s="240" t="s">
        <v>145</v>
      </c>
      <c r="J661" s="240"/>
      <c r="K661" s="241"/>
      <c r="L661" s="49"/>
      <c r="M661" s="49"/>
      <c r="N661" s="49"/>
      <c r="O661" s="49"/>
      <c r="P661" s="49"/>
      <c r="Q661" s="49"/>
      <c r="R661" s="72"/>
      <c r="S661" s="49"/>
      <c r="T661" s="49"/>
      <c r="U661" s="49"/>
      <c r="V661" s="49"/>
      <c r="W661" s="49"/>
      <c r="X661" s="49"/>
      <c r="Y661" s="49"/>
      <c r="Z661" s="49"/>
      <c r="AA661" s="49"/>
      <c r="AB661" s="49"/>
      <c r="AC661" s="49">
        <f t="shared" si="136"/>
        <v>0</v>
      </c>
      <c r="AD661" s="49"/>
      <c r="AE661" s="49"/>
      <c r="AF661" s="49"/>
      <c r="AG661" s="49"/>
      <c r="AH661" s="49"/>
      <c r="AI661" s="49"/>
      <c r="AJ661" s="49"/>
      <c r="AK661" s="49"/>
      <c r="AL661" s="49"/>
      <c r="AM661" s="49"/>
      <c r="AN661" s="49"/>
      <c r="AO661" s="49"/>
      <c r="AP661" s="49"/>
      <c r="AQ661" s="49"/>
      <c r="AR661" s="49"/>
      <c r="AS661" s="49"/>
      <c r="AT661" s="49"/>
      <c r="AU661" s="49"/>
      <c r="AV661" s="49"/>
      <c r="AW661" s="49"/>
      <c r="AX661" s="49"/>
      <c r="AY661" s="49"/>
      <c r="AZ661" s="73">
        <f t="shared" si="134"/>
        <v>0</v>
      </c>
    </row>
    <row r="662" spans="1:54" ht="20.100000000000001" customHeight="1">
      <c r="A662" s="83"/>
      <c r="B662" s="69"/>
      <c r="C662" s="240" t="s">
        <v>877</v>
      </c>
      <c r="D662" s="240"/>
      <c r="E662" s="241"/>
      <c r="F662" s="70"/>
      <c r="G662" s="71"/>
      <c r="H662" s="71"/>
      <c r="I662" s="71"/>
      <c r="J662" s="240" t="s">
        <v>147</v>
      </c>
      <c r="K662" s="241"/>
      <c r="L662" s="49">
        <v>9984000</v>
      </c>
      <c r="M662" s="49">
        <v>5984000</v>
      </c>
      <c r="N662" s="49">
        <v>5940000</v>
      </c>
      <c r="O662" s="49"/>
      <c r="P662" s="49"/>
      <c r="Q662" s="49">
        <f>SUM(N662:P662)</f>
        <v>5940000</v>
      </c>
      <c r="R662" s="72">
        <f>Q662/M662*100</f>
        <v>99.264705882352942</v>
      </c>
      <c r="S662" s="49">
        <f>M662-Q662</f>
        <v>44000</v>
      </c>
      <c r="T662" s="49">
        <v>0</v>
      </c>
      <c r="U662" s="49">
        <f>T662+M662</f>
        <v>5984000</v>
      </c>
      <c r="V662" s="49">
        <f>T662+S662</f>
        <v>44000</v>
      </c>
      <c r="W662" s="49"/>
      <c r="X662" s="49"/>
      <c r="Y662" s="49"/>
      <c r="Z662" s="49"/>
      <c r="AA662" s="49">
        <v>4000000</v>
      </c>
      <c r="AB662" s="49">
        <v>10821000</v>
      </c>
      <c r="AC662" s="49">
        <f t="shared" si="136"/>
        <v>837000</v>
      </c>
      <c r="AD662" s="49">
        <f>AA662+T662+M662</f>
        <v>9984000</v>
      </c>
      <c r="AE662" s="49"/>
      <c r="AF662" s="49"/>
      <c r="AG662" s="49">
        <v>3080000</v>
      </c>
      <c r="AH662" s="49"/>
      <c r="AI662" s="49"/>
      <c r="AJ662" s="49">
        <v>963600</v>
      </c>
      <c r="AK662" s="49">
        <f>Z662+Y662+X662+W662+N662+AG662+AE662+AJ662+AI662+AH662</f>
        <v>9983600</v>
      </c>
      <c r="AL662" s="49">
        <f>AK662/AD662*100</f>
        <v>99.995993589743591</v>
      </c>
      <c r="AM662" s="49"/>
      <c r="AN662" s="49"/>
      <c r="AO662" s="42">
        <v>837000</v>
      </c>
      <c r="AP662" s="49"/>
      <c r="AQ662" s="49">
        <f>AK662+AM662+AN662+AO662+AP662</f>
        <v>10820600</v>
      </c>
      <c r="AR662" s="49">
        <f>AQ662/AB662*100</f>
        <v>99.996303483966358</v>
      </c>
      <c r="AS662" s="49">
        <f t="shared" si="135"/>
        <v>400</v>
      </c>
      <c r="AT662" s="49">
        <v>3091500</v>
      </c>
      <c r="AU662" s="49">
        <f>AT662+U662</f>
        <v>9075500</v>
      </c>
      <c r="AV662" s="49">
        <f>AK662</f>
        <v>9983600</v>
      </c>
      <c r="AW662" s="72">
        <f>AV662/AU662*100</f>
        <v>110.00606027216131</v>
      </c>
      <c r="AX662" s="49">
        <f>AU662-AV662</f>
        <v>-908100</v>
      </c>
      <c r="AY662" s="49">
        <f t="shared" si="133"/>
        <v>3.6965160336382961E-3</v>
      </c>
      <c r="AZ662" s="73">
        <f t="shared" si="134"/>
        <v>9983600</v>
      </c>
    </row>
    <row r="663" spans="1:54" ht="20.100000000000001" customHeight="1">
      <c r="A663" s="83"/>
      <c r="B663" s="69"/>
      <c r="C663" s="240" t="s">
        <v>878</v>
      </c>
      <c r="D663" s="240"/>
      <c r="E663" s="241"/>
      <c r="F663" s="70"/>
      <c r="G663" s="71"/>
      <c r="H663" s="71"/>
      <c r="I663" s="240" t="s">
        <v>163</v>
      </c>
      <c r="J663" s="240"/>
      <c r="K663" s="241"/>
      <c r="L663" s="49"/>
      <c r="M663" s="49"/>
      <c r="N663" s="49"/>
      <c r="O663" s="49"/>
      <c r="P663" s="49"/>
      <c r="Q663" s="49"/>
      <c r="R663" s="72"/>
      <c r="S663" s="49"/>
      <c r="T663" s="49"/>
      <c r="U663" s="49"/>
      <c r="V663" s="49"/>
      <c r="W663" s="49"/>
      <c r="X663" s="49"/>
      <c r="Y663" s="49"/>
      <c r="Z663" s="49"/>
      <c r="AA663" s="49"/>
      <c r="AB663" s="49"/>
      <c r="AC663" s="49">
        <f t="shared" si="136"/>
        <v>0</v>
      </c>
      <c r="AD663" s="49"/>
      <c r="AE663" s="49"/>
      <c r="AF663" s="49"/>
      <c r="AG663" s="49"/>
      <c r="AH663" s="49"/>
      <c r="AI663" s="49"/>
      <c r="AJ663" s="49"/>
      <c r="AK663" s="49"/>
      <c r="AL663" s="49"/>
      <c r="AM663" s="49"/>
      <c r="AN663" s="49"/>
      <c r="AO663" s="49"/>
      <c r="AP663" s="49"/>
      <c r="AQ663" s="49"/>
      <c r="AR663" s="49"/>
      <c r="AS663" s="49"/>
      <c r="AT663" s="49"/>
      <c r="AU663" s="49"/>
      <c r="AV663" s="49"/>
      <c r="AW663" s="49"/>
      <c r="AX663" s="49"/>
      <c r="AY663" s="49"/>
      <c r="AZ663" s="73">
        <f t="shared" si="134"/>
        <v>0</v>
      </c>
    </row>
    <row r="664" spans="1:54" ht="20.100000000000001" customHeight="1">
      <c r="A664" s="83"/>
      <c r="B664" s="69"/>
      <c r="C664" s="240" t="s">
        <v>879</v>
      </c>
      <c r="D664" s="240"/>
      <c r="E664" s="241"/>
      <c r="F664" s="70"/>
      <c r="G664" s="71"/>
      <c r="H664" s="71"/>
      <c r="I664" s="71"/>
      <c r="J664" s="240" t="s">
        <v>349</v>
      </c>
      <c r="K664" s="241"/>
      <c r="L664" s="49">
        <v>920000</v>
      </c>
      <c r="M664" s="49">
        <v>150000</v>
      </c>
      <c r="N664" s="49">
        <v>150000</v>
      </c>
      <c r="O664" s="49"/>
      <c r="P664" s="49"/>
      <c r="Q664" s="49">
        <f>SUM(N664:P664)</f>
        <v>150000</v>
      </c>
      <c r="R664" s="72">
        <f>Q664/M664*100</f>
        <v>100</v>
      </c>
      <c r="S664" s="49">
        <f>M664-Q664</f>
        <v>0</v>
      </c>
      <c r="T664" s="49">
        <v>0</v>
      </c>
      <c r="U664" s="49">
        <f>T664+M664</f>
        <v>150000</v>
      </c>
      <c r="V664" s="49">
        <f>T664+S664</f>
        <v>0</v>
      </c>
      <c r="W664" s="49"/>
      <c r="X664" s="49"/>
      <c r="Y664" s="49"/>
      <c r="Z664" s="49"/>
      <c r="AA664" s="49">
        <v>770000</v>
      </c>
      <c r="AB664" s="49">
        <v>500000</v>
      </c>
      <c r="AC664" s="49">
        <f t="shared" si="136"/>
        <v>-420000</v>
      </c>
      <c r="AD664" s="49">
        <f>AA664+T664+M664</f>
        <v>920000</v>
      </c>
      <c r="AE664" s="49"/>
      <c r="AF664" s="49"/>
      <c r="AG664" s="49"/>
      <c r="AH664" s="49"/>
      <c r="AI664" s="49"/>
      <c r="AJ664" s="49"/>
      <c r="AK664" s="49">
        <f>Z664+Y664+X664+W664+N664+AG664+AE664+AJ664+AI664+AH664</f>
        <v>150000</v>
      </c>
      <c r="AL664" s="49">
        <f>AK664/AD664*100</f>
        <v>16.304347826086957</v>
      </c>
      <c r="AM664" s="49"/>
      <c r="AN664" s="49"/>
      <c r="AO664" s="49"/>
      <c r="AP664" s="49"/>
      <c r="AQ664" s="49">
        <f>AK664+AM664+AN664+AO664+AP664</f>
        <v>150000</v>
      </c>
      <c r="AR664" s="49">
        <f>AQ664/AB664*100</f>
        <v>30</v>
      </c>
      <c r="AS664" s="49">
        <f t="shared" si="135"/>
        <v>350000</v>
      </c>
      <c r="AT664" s="49">
        <v>3091500</v>
      </c>
      <c r="AU664" s="49">
        <f>AT664+U664</f>
        <v>3241500</v>
      </c>
      <c r="AV664" s="49">
        <f>AK664</f>
        <v>150000</v>
      </c>
      <c r="AW664" s="72">
        <f>AV664/AU664*100</f>
        <v>4.6274872744099955</v>
      </c>
      <c r="AX664" s="49">
        <f>AU664-AV664</f>
        <v>3091500</v>
      </c>
      <c r="AY664" s="49">
        <f t="shared" si="133"/>
        <v>70</v>
      </c>
      <c r="AZ664" s="73">
        <f t="shared" si="134"/>
        <v>150000</v>
      </c>
    </row>
    <row r="665" spans="1:54" ht="20.100000000000001" customHeight="1">
      <c r="A665" s="83"/>
      <c r="B665" s="69"/>
      <c r="C665" s="240" t="s">
        <v>880</v>
      </c>
      <c r="D665" s="240"/>
      <c r="E665" s="241"/>
      <c r="F665" s="70"/>
      <c r="G665" s="71"/>
      <c r="H665" s="71"/>
      <c r="I665" s="71"/>
      <c r="J665" s="240" t="s">
        <v>231</v>
      </c>
      <c r="K665" s="241"/>
      <c r="L665" s="49">
        <v>175655000</v>
      </c>
      <c r="M665" s="49">
        <v>19650000</v>
      </c>
      <c r="N665" s="49">
        <v>19650000</v>
      </c>
      <c r="O665" s="49"/>
      <c r="P665" s="49"/>
      <c r="Q665" s="49">
        <f>SUM(N665:P665)</f>
        <v>19650000</v>
      </c>
      <c r="R665" s="72">
        <f>Q665/M665*100</f>
        <v>100</v>
      </c>
      <c r="S665" s="49">
        <f>M665-Q665</f>
        <v>0</v>
      </c>
      <c r="T665" s="49">
        <v>156005000</v>
      </c>
      <c r="U665" s="49">
        <f>T665+M665</f>
        <v>175655000</v>
      </c>
      <c r="V665" s="49">
        <f>T665+S665</f>
        <v>156005000</v>
      </c>
      <c r="W665" s="49"/>
      <c r="X665" s="49"/>
      <c r="Y665" s="49">
        <v>113325000</v>
      </c>
      <c r="Z665" s="49"/>
      <c r="AA665" s="49">
        <v>0</v>
      </c>
      <c r="AB665" s="49">
        <v>132975000</v>
      </c>
      <c r="AC665" s="49">
        <f t="shared" si="136"/>
        <v>-42680000</v>
      </c>
      <c r="AD665" s="49">
        <f>AA665+T665+M665</f>
        <v>175655000</v>
      </c>
      <c r="AE665" s="49"/>
      <c r="AF665" s="49"/>
      <c r="AG665" s="49"/>
      <c r="AH665" s="49"/>
      <c r="AI665" s="49"/>
      <c r="AJ665" s="49"/>
      <c r="AK665" s="49">
        <f>Z665+Y665+X665+W665+N665+AG665+AE665+AJ665+AI665+AH665</f>
        <v>132975000</v>
      </c>
      <c r="AL665" s="49">
        <f>AK665/AD665*100</f>
        <v>75.702371125217056</v>
      </c>
      <c r="AM665" s="49"/>
      <c r="AN665" s="49"/>
      <c r="AO665" s="49"/>
      <c r="AP665" s="49"/>
      <c r="AQ665" s="49">
        <f>AK665+AM665+AN665+AO665+AP665</f>
        <v>132975000</v>
      </c>
      <c r="AR665" s="49">
        <f>AQ665/AB665*100</f>
        <v>100</v>
      </c>
      <c r="AS665" s="49">
        <f t="shared" si="135"/>
        <v>0</v>
      </c>
      <c r="AT665" s="49">
        <v>3091500</v>
      </c>
      <c r="AU665" s="49">
        <f>AT665+U665</f>
        <v>178746500</v>
      </c>
      <c r="AV665" s="49">
        <f>AK665</f>
        <v>132975000</v>
      </c>
      <c r="AW665" s="72">
        <f>AV665/AU665*100</f>
        <v>74.393065039035733</v>
      </c>
      <c r="AX665" s="49">
        <f>AU665-AV665</f>
        <v>45771500</v>
      </c>
      <c r="AY665" s="49">
        <f t="shared" si="133"/>
        <v>0</v>
      </c>
      <c r="AZ665" s="73">
        <f t="shared" si="134"/>
        <v>132975000</v>
      </c>
    </row>
    <row r="666" spans="1:54" ht="20.100000000000001" customHeight="1">
      <c r="A666" s="83"/>
      <c r="B666" s="69"/>
      <c r="C666" s="240" t="s">
        <v>881</v>
      </c>
      <c r="D666" s="240"/>
      <c r="E666" s="241"/>
      <c r="F666" s="70"/>
      <c r="G666" s="71"/>
      <c r="H666" s="71"/>
      <c r="I666" s="240" t="s">
        <v>151</v>
      </c>
      <c r="J666" s="240"/>
      <c r="K666" s="241"/>
      <c r="L666" s="49"/>
      <c r="M666" s="49"/>
      <c r="N666" s="49"/>
      <c r="O666" s="49"/>
      <c r="P666" s="49"/>
      <c r="Q666" s="49"/>
      <c r="R666" s="72"/>
      <c r="S666" s="49"/>
      <c r="T666" s="49"/>
      <c r="U666" s="49"/>
      <c r="V666" s="49"/>
      <c r="W666" s="49"/>
      <c r="X666" s="49"/>
      <c r="Y666" s="49"/>
      <c r="Z666" s="49"/>
      <c r="AA666" s="49"/>
      <c r="AB666" s="49"/>
      <c r="AC666" s="49">
        <f t="shared" si="136"/>
        <v>0</v>
      </c>
      <c r="AD666" s="49"/>
      <c r="AE666" s="49"/>
      <c r="AF666" s="49"/>
      <c r="AG666" s="49"/>
      <c r="AH666" s="49"/>
      <c r="AI666" s="49"/>
      <c r="AJ666" s="49"/>
      <c r="AK666" s="49"/>
      <c r="AL666" s="49"/>
      <c r="AM666" s="49"/>
      <c r="AN666" s="49"/>
      <c r="AO666" s="49"/>
      <c r="AP666" s="49"/>
      <c r="AQ666" s="49"/>
      <c r="AR666" s="49"/>
      <c r="AS666" s="49"/>
      <c r="AT666" s="49"/>
      <c r="AU666" s="49"/>
      <c r="AV666" s="49"/>
      <c r="AW666" s="49"/>
      <c r="AX666" s="49"/>
      <c r="AY666" s="49"/>
      <c r="AZ666" s="73">
        <f t="shared" si="134"/>
        <v>0</v>
      </c>
    </row>
    <row r="667" spans="1:54" ht="20.100000000000001" customHeight="1">
      <c r="A667" s="83"/>
      <c r="B667" s="69"/>
      <c r="C667" s="240" t="s">
        <v>882</v>
      </c>
      <c r="D667" s="240"/>
      <c r="E667" s="241"/>
      <c r="F667" s="70"/>
      <c r="G667" s="71"/>
      <c r="H667" s="71"/>
      <c r="I667" s="71"/>
      <c r="J667" s="240" t="s">
        <v>155</v>
      </c>
      <c r="K667" s="241"/>
      <c r="L667" s="49">
        <v>7631500</v>
      </c>
      <c r="M667" s="49">
        <v>2000000</v>
      </c>
      <c r="N667" s="49">
        <v>1999375</v>
      </c>
      <c r="O667" s="49"/>
      <c r="P667" s="49"/>
      <c r="Q667" s="49">
        <f>SUM(N667:P667)</f>
        <v>1999375</v>
      </c>
      <c r="R667" s="72">
        <f>Q667/M667*100</f>
        <v>99.96875</v>
      </c>
      <c r="S667" s="49">
        <f>M667-Q667</f>
        <v>625</v>
      </c>
      <c r="T667" s="49">
        <v>2000000</v>
      </c>
      <c r="U667" s="49">
        <f>T667+M667</f>
        <v>4000000</v>
      </c>
      <c r="V667" s="49">
        <f>T667+S667</f>
        <v>2000625</v>
      </c>
      <c r="W667" s="49"/>
      <c r="X667" s="49"/>
      <c r="Y667" s="49">
        <v>985250</v>
      </c>
      <c r="Z667" s="49"/>
      <c r="AA667" s="49">
        <v>2631500</v>
      </c>
      <c r="AB667" s="49">
        <v>23660000</v>
      </c>
      <c r="AC667" s="49">
        <f t="shared" si="136"/>
        <v>16028500</v>
      </c>
      <c r="AD667" s="49">
        <f>AA667+T667+M667</f>
        <v>6631500</v>
      </c>
      <c r="AE667" s="49"/>
      <c r="AF667" s="49"/>
      <c r="AG667" s="49"/>
      <c r="AH667" s="49"/>
      <c r="AI667" s="49"/>
      <c r="AJ667" s="49"/>
      <c r="AK667" s="49">
        <f>Z667+Y667+X667+W667+N667+AG667+AE667+AJ667+AI667+AH667</f>
        <v>2984625</v>
      </c>
      <c r="AL667" s="49">
        <f>AK667/AD667*100</f>
        <v>45.006785795068986</v>
      </c>
      <c r="AM667" s="49"/>
      <c r="AN667" s="49"/>
      <c r="AO667" s="42">
        <v>15149750</v>
      </c>
      <c r="AP667" s="49"/>
      <c r="AQ667" s="49">
        <f>AK667+AM667+AN667+AO667+AP667</f>
        <v>18134375</v>
      </c>
      <c r="AR667" s="49">
        <f>AQ667/AB667*100</f>
        <v>76.645710059171606</v>
      </c>
      <c r="AS667" s="49">
        <f t="shared" si="135"/>
        <v>5525625</v>
      </c>
      <c r="AT667" s="49">
        <v>3091500</v>
      </c>
      <c r="AU667" s="49">
        <f>AT667+U667</f>
        <v>7091500</v>
      </c>
      <c r="AV667" s="49">
        <f>AK667</f>
        <v>2984625</v>
      </c>
      <c r="AW667" s="72">
        <f>AV667/AU667*100</f>
        <v>42.087358104773323</v>
      </c>
      <c r="AX667" s="49">
        <f>AU667-AV667</f>
        <v>4106875</v>
      </c>
      <c r="AY667" s="49">
        <f t="shared" si="133"/>
        <v>23.354289940828401</v>
      </c>
      <c r="AZ667" s="73">
        <f t="shared" si="134"/>
        <v>2984625</v>
      </c>
    </row>
    <row r="668" spans="1:54" ht="20.100000000000001" customHeight="1">
      <c r="A668" s="83"/>
      <c r="B668" s="69"/>
      <c r="C668" s="240" t="s">
        <v>883</v>
      </c>
      <c r="D668" s="240"/>
      <c r="E668" s="241"/>
      <c r="F668" s="70"/>
      <c r="G668" s="71"/>
      <c r="H668" s="71"/>
      <c r="I668" s="71"/>
      <c r="J668" s="240" t="s">
        <v>309</v>
      </c>
      <c r="K668" s="241"/>
      <c r="L668" s="49">
        <v>1250000</v>
      </c>
      <c r="M668" s="49">
        <v>0</v>
      </c>
      <c r="N668" s="49"/>
      <c r="O668" s="49"/>
      <c r="P668" s="49"/>
      <c r="Q668" s="49">
        <f>SUM(N668:P668)</f>
        <v>0</v>
      </c>
      <c r="R668" s="72"/>
      <c r="S668" s="49">
        <f>M668-Q668</f>
        <v>0</v>
      </c>
      <c r="T668" s="49">
        <v>0</v>
      </c>
      <c r="U668" s="49">
        <f>T668+M668</f>
        <v>0</v>
      </c>
      <c r="V668" s="49">
        <f>T668+S668</f>
        <v>0</v>
      </c>
      <c r="W668" s="49"/>
      <c r="X668" s="49"/>
      <c r="Y668" s="49"/>
      <c r="Z668" s="49"/>
      <c r="AA668" s="49">
        <v>0</v>
      </c>
      <c r="AB668" s="49">
        <v>5820000</v>
      </c>
      <c r="AC668" s="49">
        <f t="shared" si="136"/>
        <v>4570000</v>
      </c>
      <c r="AD668" s="49">
        <f>AA668+T668+M668</f>
        <v>0</v>
      </c>
      <c r="AE668" s="49"/>
      <c r="AF668" s="49"/>
      <c r="AG668" s="49"/>
      <c r="AH668" s="49"/>
      <c r="AI668" s="49"/>
      <c r="AJ668" s="49"/>
      <c r="AK668" s="49">
        <f>Z668+Y668+X668+W668+N668+AG668+AE668+AJ668+AI668+AH668</f>
        <v>0</v>
      </c>
      <c r="AL668" s="49" t="e">
        <f>AK668/U668*100</f>
        <v>#DIV/0!</v>
      </c>
      <c r="AM668" s="49"/>
      <c r="AN668" s="49"/>
      <c r="AO668" s="42">
        <v>5808000</v>
      </c>
      <c r="AP668" s="49"/>
      <c r="AQ668" s="49">
        <f>AK668+AM668+AN668+AO668+AP668</f>
        <v>5808000</v>
      </c>
      <c r="AR668" s="49">
        <f>AQ668/AB668*100</f>
        <v>99.793814432989691</v>
      </c>
      <c r="AS668" s="49">
        <f t="shared" si="135"/>
        <v>12000</v>
      </c>
      <c r="AT668" s="49">
        <v>3091500</v>
      </c>
      <c r="AU668" s="49">
        <f>AT668+U668</f>
        <v>3091500</v>
      </c>
      <c r="AV668" s="49">
        <f>AK668</f>
        <v>0</v>
      </c>
      <c r="AW668" s="72">
        <f>AV668/AU668*100</f>
        <v>0</v>
      </c>
      <c r="AX668" s="49">
        <f>AU668-AV668</f>
        <v>3091500</v>
      </c>
      <c r="AY668" s="49">
        <f t="shared" si="133"/>
        <v>0.2061855670103093</v>
      </c>
      <c r="AZ668" s="73">
        <f t="shared" si="134"/>
        <v>0</v>
      </c>
    </row>
    <row r="669" spans="1:54" ht="20.100000000000001" customHeight="1">
      <c r="A669" s="83"/>
      <c r="B669" s="69"/>
      <c r="C669" s="240" t="s">
        <v>884</v>
      </c>
      <c r="D669" s="240"/>
      <c r="E669" s="241"/>
      <c r="F669" s="70"/>
      <c r="G669" s="71"/>
      <c r="H669" s="71"/>
      <c r="I669" s="240" t="s">
        <v>193</v>
      </c>
      <c r="J669" s="240"/>
      <c r="K669" s="241"/>
      <c r="L669" s="49"/>
      <c r="M669" s="49"/>
      <c r="N669" s="49"/>
      <c r="O669" s="49"/>
      <c r="P669" s="49"/>
      <c r="Q669" s="49"/>
      <c r="R669" s="72"/>
      <c r="S669" s="49"/>
      <c r="T669" s="49"/>
      <c r="U669" s="49"/>
      <c r="V669" s="49"/>
      <c r="W669" s="49"/>
      <c r="X669" s="49"/>
      <c r="Y669" s="49"/>
      <c r="Z669" s="49"/>
      <c r="AA669" s="49"/>
      <c r="AB669" s="49"/>
      <c r="AC669" s="49">
        <f t="shared" si="136"/>
        <v>0</v>
      </c>
      <c r="AD669" s="49"/>
      <c r="AE669" s="49"/>
      <c r="AF669" s="49"/>
      <c r="AG669" s="49"/>
      <c r="AH669" s="49"/>
      <c r="AI669" s="49"/>
      <c r="AJ669" s="49"/>
      <c r="AK669" s="49"/>
      <c r="AL669" s="49"/>
      <c r="AM669" s="49"/>
      <c r="AN669" s="49"/>
      <c r="AO669" s="49"/>
      <c r="AP669" s="49"/>
      <c r="AQ669" s="49"/>
      <c r="AR669" s="49"/>
      <c r="AS669" s="49"/>
      <c r="AT669" s="49"/>
      <c r="AU669" s="49"/>
      <c r="AV669" s="49"/>
      <c r="AW669" s="49"/>
      <c r="AX669" s="49"/>
      <c r="AY669" s="49"/>
      <c r="AZ669" s="73">
        <f t="shared" si="134"/>
        <v>0</v>
      </c>
    </row>
    <row r="670" spans="1:54" ht="20.100000000000001" customHeight="1">
      <c r="A670" s="83"/>
      <c r="B670" s="69"/>
      <c r="C670" s="240" t="s">
        <v>885</v>
      </c>
      <c r="D670" s="240"/>
      <c r="E670" s="241"/>
      <c r="F670" s="70"/>
      <c r="G670" s="71"/>
      <c r="H670" s="71"/>
      <c r="I670" s="71"/>
      <c r="J670" s="240" t="s">
        <v>195</v>
      </c>
      <c r="K670" s="241"/>
      <c r="L670" s="49">
        <v>26230000</v>
      </c>
      <c r="M670" s="49">
        <v>19115000</v>
      </c>
      <c r="N670" s="49">
        <f>425000+15750000</f>
        <v>16175000</v>
      </c>
      <c r="O670" s="49"/>
      <c r="P670" s="49"/>
      <c r="Q670" s="49">
        <f>SUM(N670:P670)</f>
        <v>16175000</v>
      </c>
      <c r="R670" s="72">
        <f>Q670/M670*100</f>
        <v>84.619408841224157</v>
      </c>
      <c r="S670" s="49">
        <f>M670-Q670</f>
        <v>2940000</v>
      </c>
      <c r="T670" s="49">
        <v>5925000</v>
      </c>
      <c r="U670" s="49">
        <f>T670+M670</f>
        <v>25040000</v>
      </c>
      <c r="V670" s="49">
        <f>T670+S670</f>
        <v>8865000</v>
      </c>
      <c r="W670" s="49">
        <v>2250000</v>
      </c>
      <c r="X670" s="49"/>
      <c r="Y670" s="49">
        <v>5000000</v>
      </c>
      <c r="Z670" s="49"/>
      <c r="AA670" s="49">
        <v>0</v>
      </c>
      <c r="AB670" s="49">
        <v>44785000</v>
      </c>
      <c r="AC670" s="49">
        <f t="shared" si="136"/>
        <v>18555000</v>
      </c>
      <c r="AD670" s="49">
        <f>AA670+T670+M670</f>
        <v>25040000</v>
      </c>
      <c r="AE670" s="49"/>
      <c r="AF670" s="49"/>
      <c r="AG670" s="49">
        <v>0</v>
      </c>
      <c r="AH670" s="49"/>
      <c r="AI670" s="49">
        <v>0</v>
      </c>
      <c r="AJ670" s="49">
        <v>562500</v>
      </c>
      <c r="AK670" s="49">
        <f>Z670+Y670+X670+W670+N670+AG670+AE670+AJ670+AI670+AH670</f>
        <v>23987500</v>
      </c>
      <c r="AL670" s="49">
        <f>AK670/AD670*100</f>
        <v>95.796725239616606</v>
      </c>
      <c r="AM670" s="49"/>
      <c r="AN670" s="49"/>
      <c r="AO670" s="42">
        <v>16975000</v>
      </c>
      <c r="AP670" s="49"/>
      <c r="AQ670" s="49">
        <f>AK670+AM670+AN670+AO670+AP670</f>
        <v>40962500</v>
      </c>
      <c r="AR670" s="49">
        <f>AQ670/AB670*100</f>
        <v>91.464776152729712</v>
      </c>
      <c r="AS670" s="49">
        <f t="shared" si="135"/>
        <v>3822500</v>
      </c>
      <c r="AT670" s="49">
        <v>3091500</v>
      </c>
      <c r="AU670" s="49">
        <f>AT670+U670</f>
        <v>28131500</v>
      </c>
      <c r="AV670" s="49">
        <f>AK670</f>
        <v>23987500</v>
      </c>
      <c r="AW670" s="72">
        <f>AV670/AU670*100</f>
        <v>85.269182233439381</v>
      </c>
      <c r="AX670" s="49">
        <f>AU670-AV670</f>
        <v>4144000</v>
      </c>
      <c r="AY670" s="49">
        <f t="shared" si="133"/>
        <v>8.5352238472702915</v>
      </c>
      <c r="AZ670" s="73">
        <f t="shared" si="134"/>
        <v>23987500</v>
      </c>
    </row>
    <row r="671" spans="1:54" ht="20.100000000000001" customHeight="1">
      <c r="A671" s="83"/>
      <c r="B671" s="69"/>
      <c r="C671" s="240" t="s">
        <v>886</v>
      </c>
      <c r="D671" s="240"/>
      <c r="E671" s="241"/>
      <c r="F671" s="70"/>
      <c r="G671" s="71"/>
      <c r="H671" s="71"/>
      <c r="I671" s="240" t="s">
        <v>157</v>
      </c>
      <c r="J671" s="240"/>
      <c r="K671" s="241"/>
      <c r="L671" s="49"/>
      <c r="M671" s="49"/>
      <c r="N671" s="49"/>
      <c r="O671" s="49"/>
      <c r="P671" s="49"/>
      <c r="Q671" s="49"/>
      <c r="R671" s="72"/>
      <c r="S671" s="49"/>
      <c r="T671" s="49"/>
      <c r="U671" s="49"/>
      <c r="V671" s="49"/>
      <c r="W671" s="49"/>
      <c r="X671" s="49"/>
      <c r="Y671" s="49"/>
      <c r="Z671" s="49"/>
      <c r="AA671" s="49"/>
      <c r="AB671" s="49"/>
      <c r="AC671" s="49">
        <f t="shared" si="136"/>
        <v>0</v>
      </c>
      <c r="AD671" s="49"/>
      <c r="AE671" s="49"/>
      <c r="AF671" s="49"/>
      <c r="AG671" s="49"/>
      <c r="AH671" s="49"/>
      <c r="AI671" s="49"/>
      <c r="AJ671" s="49"/>
      <c r="AK671" s="49"/>
      <c r="AL671" s="49"/>
      <c r="AM671" s="49"/>
      <c r="AN671" s="49"/>
      <c r="AO671" s="49"/>
      <c r="AP671" s="49"/>
      <c r="AQ671" s="49"/>
      <c r="AR671" s="49"/>
      <c r="AS671" s="49"/>
      <c r="AT671" s="49"/>
      <c r="AU671" s="49"/>
      <c r="AV671" s="49"/>
      <c r="AW671" s="49"/>
      <c r="AX671" s="49"/>
      <c r="AY671" s="49"/>
      <c r="AZ671" s="73">
        <f t="shared" si="134"/>
        <v>0</v>
      </c>
    </row>
    <row r="672" spans="1:54" ht="20.100000000000001" customHeight="1">
      <c r="A672" s="83"/>
      <c r="B672" s="69"/>
      <c r="C672" s="240" t="s">
        <v>887</v>
      </c>
      <c r="D672" s="240"/>
      <c r="E672" s="241"/>
      <c r="F672" s="70"/>
      <c r="G672" s="71"/>
      <c r="H672" s="71"/>
      <c r="I672" s="71"/>
      <c r="J672" s="240" t="s">
        <v>159</v>
      </c>
      <c r="K672" s="241"/>
      <c r="L672" s="49">
        <v>69870000</v>
      </c>
      <c r="M672" s="49">
        <v>1200000</v>
      </c>
      <c r="N672" s="49"/>
      <c r="O672" s="49"/>
      <c r="P672" s="49"/>
      <c r="Q672" s="49">
        <f>SUM(N672:P672)</f>
        <v>0</v>
      </c>
      <c r="R672" s="72">
        <f>Q672/M672*100</f>
        <v>0</v>
      </c>
      <c r="S672" s="49">
        <f>M672-Q672</f>
        <v>1200000</v>
      </c>
      <c r="T672" s="49">
        <v>14000000</v>
      </c>
      <c r="U672" s="49">
        <f>T672+M672</f>
        <v>15200000</v>
      </c>
      <c r="V672" s="49">
        <f>T672+S672</f>
        <v>15200000</v>
      </c>
      <c r="W672" s="49"/>
      <c r="X672" s="49"/>
      <c r="Y672" s="49">
        <v>4000000</v>
      </c>
      <c r="Z672" s="49"/>
      <c r="AA672" s="49">
        <v>36670000</v>
      </c>
      <c r="AB672" s="49">
        <v>69870000</v>
      </c>
      <c r="AC672" s="49">
        <f t="shared" si="136"/>
        <v>0</v>
      </c>
      <c r="AD672" s="49">
        <f>AA672+T672+M672</f>
        <v>51870000</v>
      </c>
      <c r="AE672" s="49"/>
      <c r="AF672" s="49"/>
      <c r="AG672" s="49"/>
      <c r="AH672" s="49"/>
      <c r="AI672" s="49"/>
      <c r="AJ672" s="49">
        <f>8520000+500000</f>
        <v>9020000</v>
      </c>
      <c r="AK672" s="49">
        <f>Z672+Y672+X672+W672+N672+AG672+AE672+AJ672+AI672+AH672</f>
        <v>13020000</v>
      </c>
      <c r="AL672" s="49">
        <f>AK672/AD672*100</f>
        <v>25.101214574898783</v>
      </c>
      <c r="AM672" s="48"/>
      <c r="AN672" s="49"/>
      <c r="AO672" s="49"/>
      <c r="AP672" s="49"/>
      <c r="AQ672" s="49">
        <f>AK672+AM672+AN672+AO672+AP672</f>
        <v>13020000</v>
      </c>
      <c r="AR672" s="49">
        <f>AQ672/AB672*100</f>
        <v>18.634607127522543</v>
      </c>
      <c r="AS672" s="49">
        <f t="shared" si="135"/>
        <v>56850000</v>
      </c>
      <c r="AT672" s="49">
        <v>3091500</v>
      </c>
      <c r="AU672" s="49">
        <f>AT672+U672</f>
        <v>18291500</v>
      </c>
      <c r="AV672" s="49">
        <f>AK672</f>
        <v>13020000</v>
      </c>
      <c r="AW672" s="72">
        <f>AV672/AU672*100</f>
        <v>71.18060301232812</v>
      </c>
      <c r="AX672" s="49">
        <f>AU672-AV672</f>
        <v>5271500</v>
      </c>
      <c r="AY672" s="49">
        <f t="shared" si="133"/>
        <v>81.365392872477457</v>
      </c>
      <c r="AZ672" s="73">
        <f t="shared" si="134"/>
        <v>13020000</v>
      </c>
      <c r="BB672" s="29">
        <f>AS672</f>
        <v>56850000</v>
      </c>
    </row>
    <row r="673" spans="1:54" ht="20.100000000000001" customHeight="1">
      <c r="A673" s="83"/>
      <c r="B673" s="69"/>
      <c r="C673" s="240" t="s">
        <v>888</v>
      </c>
      <c r="D673" s="240"/>
      <c r="E673" s="241"/>
      <c r="F673" s="70"/>
      <c r="G673" s="71"/>
      <c r="H673" s="71"/>
      <c r="I673" s="71"/>
      <c r="J673" s="240" t="s">
        <v>207</v>
      </c>
      <c r="K673" s="241"/>
      <c r="L673" s="49">
        <v>5055500</v>
      </c>
      <c r="M673" s="49">
        <v>2500000</v>
      </c>
      <c r="N673" s="49"/>
      <c r="O673" s="49"/>
      <c r="P673" s="49"/>
      <c r="Q673" s="49">
        <f>SUM(N673:P673)</f>
        <v>0</v>
      </c>
      <c r="R673" s="72">
        <f>Q673/M673*100</f>
        <v>0</v>
      </c>
      <c r="S673" s="49">
        <f>M673-Q673</f>
        <v>2500000</v>
      </c>
      <c r="T673" s="49">
        <v>0</v>
      </c>
      <c r="U673" s="49">
        <f>T673+M673</f>
        <v>2500000</v>
      </c>
      <c r="V673" s="49">
        <f>T673+S673</f>
        <v>2500000</v>
      </c>
      <c r="W673" s="49"/>
      <c r="X673" s="49"/>
      <c r="Y673" s="49">
        <v>0</v>
      </c>
      <c r="Z673" s="49"/>
      <c r="AA673" s="49">
        <v>0</v>
      </c>
      <c r="AB673" s="49">
        <v>5055000</v>
      </c>
      <c r="AC673" s="49">
        <f t="shared" si="136"/>
        <v>-500</v>
      </c>
      <c r="AD673" s="49">
        <f>AA673+T673+M673</f>
        <v>2500000</v>
      </c>
      <c r="AE673" s="49"/>
      <c r="AF673" s="49"/>
      <c r="AG673" s="49"/>
      <c r="AH673" s="49"/>
      <c r="AI673" s="49"/>
      <c r="AJ673" s="49">
        <v>2479560</v>
      </c>
      <c r="AK673" s="49">
        <f>Z673+Y673+X673+W673+N673+AG673+AE673+AJ673+AI673+AH673</f>
        <v>2479560</v>
      </c>
      <c r="AL673" s="49">
        <f>AK673/AD673*100</f>
        <v>99.182400000000001</v>
      </c>
      <c r="AM673" s="48"/>
      <c r="AN673" s="49"/>
      <c r="AO673" s="49"/>
      <c r="AP673" s="49"/>
      <c r="AQ673" s="49">
        <f>AK673+AM673+AN673+AO673+AP673</f>
        <v>2479560</v>
      </c>
      <c r="AR673" s="49">
        <f>AQ673/AB673*100</f>
        <v>49.051632047477746</v>
      </c>
      <c r="AS673" s="49">
        <f t="shared" si="135"/>
        <v>2575440</v>
      </c>
      <c r="AT673" s="49">
        <v>3091500</v>
      </c>
      <c r="AU673" s="49">
        <f>AT673+U673</f>
        <v>5591500</v>
      </c>
      <c r="AV673" s="49">
        <f>AK673</f>
        <v>2479560</v>
      </c>
      <c r="AW673" s="72">
        <f>AV673/AU673*100</f>
        <v>44.345166770991682</v>
      </c>
      <c r="AX673" s="49">
        <f>AU673-AV673</f>
        <v>3111940</v>
      </c>
      <c r="AY673" s="49">
        <f>AS673/AB673*100</f>
        <v>50.948367952522254</v>
      </c>
      <c r="AZ673" s="73">
        <f t="shared" si="134"/>
        <v>2479560</v>
      </c>
    </row>
    <row r="674" spans="1:54" ht="20.100000000000001" customHeight="1">
      <c r="A674" s="83"/>
      <c r="B674" s="69"/>
      <c r="C674" s="240" t="s">
        <v>889</v>
      </c>
      <c r="D674" s="240"/>
      <c r="E674" s="241"/>
      <c r="F674" s="70"/>
      <c r="G674" s="71"/>
      <c r="H674" s="71"/>
      <c r="I674" s="240" t="s">
        <v>402</v>
      </c>
      <c r="J674" s="240"/>
      <c r="K674" s="241"/>
      <c r="L674" s="49"/>
      <c r="M674" s="49"/>
      <c r="N674" s="49"/>
      <c r="O674" s="49"/>
      <c r="P674" s="49"/>
      <c r="Q674" s="49"/>
      <c r="R674" s="72"/>
      <c r="S674" s="49"/>
      <c r="T674" s="49">
        <v>0</v>
      </c>
      <c r="U674" s="49">
        <f>T674+M674</f>
        <v>0</v>
      </c>
      <c r="V674" s="49">
        <f>T674+S674</f>
        <v>0</v>
      </c>
      <c r="W674" s="49"/>
      <c r="X674" s="49"/>
      <c r="Y674" s="49"/>
      <c r="Z674" s="49"/>
      <c r="AA674" s="49">
        <v>0</v>
      </c>
      <c r="AB674" s="49"/>
      <c r="AC674" s="49">
        <f t="shared" si="136"/>
        <v>0</v>
      </c>
      <c r="AD674" s="49"/>
      <c r="AE674" s="49"/>
      <c r="AF674" s="49"/>
      <c r="AG674" s="49"/>
      <c r="AH674" s="49"/>
      <c r="AI674" s="49"/>
      <c r="AJ674" s="49"/>
      <c r="AK674" s="49"/>
      <c r="AL674" s="49"/>
      <c r="AM674" s="49"/>
      <c r="AN674" s="49"/>
      <c r="AO674" s="49"/>
      <c r="AP674" s="49"/>
      <c r="AQ674" s="49"/>
      <c r="AR674" s="49"/>
      <c r="AS674" s="49"/>
      <c r="AT674" s="49"/>
      <c r="AU674" s="49"/>
      <c r="AV674" s="49"/>
      <c r="AW674" s="49"/>
      <c r="AX674" s="49"/>
      <c r="AY674" s="49"/>
      <c r="AZ674" s="73">
        <f t="shared" si="134"/>
        <v>0</v>
      </c>
    </row>
    <row r="675" spans="1:54" ht="20.100000000000001" customHeight="1">
      <c r="A675" s="83"/>
      <c r="B675" s="69"/>
      <c r="C675" s="240" t="s">
        <v>890</v>
      </c>
      <c r="D675" s="240"/>
      <c r="E675" s="241"/>
      <c r="F675" s="70"/>
      <c r="G675" s="71"/>
      <c r="H675" s="71"/>
      <c r="I675" s="71"/>
      <c r="J675" s="240" t="s">
        <v>404</v>
      </c>
      <c r="K675" s="241"/>
      <c r="L675" s="49">
        <v>1250000</v>
      </c>
      <c r="M675" s="49">
        <v>1250000</v>
      </c>
      <c r="N675" s="49"/>
      <c r="O675" s="49"/>
      <c r="P675" s="49"/>
      <c r="Q675" s="49">
        <f>SUM(N675:P675)</f>
        <v>0</v>
      </c>
      <c r="R675" s="72">
        <f>Q675/M675*100</f>
        <v>0</v>
      </c>
      <c r="S675" s="49">
        <f>M675-Q675</f>
        <v>1250000</v>
      </c>
      <c r="T675" s="49">
        <v>0</v>
      </c>
      <c r="U675" s="49">
        <f>T675+M675</f>
        <v>1250000</v>
      </c>
      <c r="V675" s="49">
        <f>T675+S675</f>
        <v>1250000</v>
      </c>
      <c r="W675" s="49"/>
      <c r="X675" s="49"/>
      <c r="Y675" s="49">
        <v>0</v>
      </c>
      <c r="Z675" s="49"/>
      <c r="AA675" s="49">
        <v>0</v>
      </c>
      <c r="AB675" s="49">
        <v>0</v>
      </c>
      <c r="AC675" s="49">
        <f t="shared" si="136"/>
        <v>-1250000</v>
      </c>
      <c r="AD675" s="49">
        <f>AA675+T675+M675</f>
        <v>1250000</v>
      </c>
      <c r="AE675" s="49"/>
      <c r="AF675" s="49"/>
      <c r="AG675" s="49"/>
      <c r="AH675" s="49"/>
      <c r="AI675" s="49"/>
      <c r="AJ675" s="49">
        <v>0</v>
      </c>
      <c r="AK675" s="49">
        <f>Z675+Y675+X675+W675+N675+AG675+AE675+AJ675+AI675+AH675</f>
        <v>0</v>
      </c>
      <c r="AL675" s="49">
        <f>AK675/AD675*100</f>
        <v>0</v>
      </c>
      <c r="AM675" s="49"/>
      <c r="AN675" s="49"/>
      <c r="AO675" s="49"/>
      <c r="AP675" s="49"/>
      <c r="AQ675" s="49"/>
      <c r="AR675" s="49"/>
      <c r="AS675" s="49"/>
      <c r="AT675" s="49"/>
      <c r="AU675" s="49"/>
      <c r="AV675" s="49"/>
      <c r="AW675" s="49"/>
      <c r="AX675" s="49"/>
      <c r="AY675" s="49"/>
      <c r="AZ675" s="73">
        <f t="shared" si="134"/>
        <v>0</v>
      </c>
    </row>
    <row r="676" spans="1:54" ht="20.100000000000001" customHeight="1">
      <c r="A676" s="83"/>
      <c r="B676" s="69"/>
      <c r="C676" s="71"/>
      <c r="D676" s="71"/>
      <c r="E676" s="84"/>
      <c r="F676" s="70"/>
      <c r="G676" s="71"/>
      <c r="H676" s="71"/>
      <c r="I676" s="71"/>
      <c r="J676" s="71"/>
      <c r="K676" s="84"/>
      <c r="L676" s="83"/>
      <c r="M676" s="83"/>
      <c r="N676" s="83"/>
      <c r="O676" s="83"/>
      <c r="P676" s="83"/>
      <c r="Q676" s="83"/>
      <c r="R676" s="72"/>
      <c r="S676" s="83"/>
      <c r="T676" s="83"/>
      <c r="U676" s="83"/>
      <c r="V676" s="83"/>
      <c r="W676" s="83"/>
      <c r="X676" s="83"/>
      <c r="Y676" s="83"/>
      <c r="Z676" s="83"/>
      <c r="AA676" s="83"/>
      <c r="AB676" s="83"/>
      <c r="AC676" s="49">
        <f t="shared" si="136"/>
        <v>0</v>
      </c>
      <c r="AD676" s="83"/>
      <c r="AE676" s="85"/>
      <c r="AF676" s="85"/>
      <c r="AG676" s="83"/>
      <c r="AH676" s="83"/>
      <c r="AI676" s="83"/>
      <c r="AJ676" s="83"/>
      <c r="AK676" s="49"/>
      <c r="AL676" s="49"/>
      <c r="AM676" s="83"/>
      <c r="AN676" s="83"/>
      <c r="AO676" s="83"/>
      <c r="AP676" s="83"/>
      <c r="AQ676" s="49"/>
      <c r="AR676" s="49"/>
      <c r="AS676" s="49"/>
      <c r="AT676" s="49"/>
      <c r="AU676" s="49"/>
      <c r="AV676" s="49"/>
      <c r="AW676" s="49"/>
      <c r="AX676" s="49"/>
      <c r="AY676" s="49"/>
      <c r="AZ676" s="73">
        <f>AQ676-AO676</f>
        <v>0</v>
      </c>
    </row>
    <row r="677" spans="1:54" ht="20.100000000000001" customHeight="1">
      <c r="A677" s="86"/>
      <c r="B677" s="87"/>
      <c r="C677" s="88"/>
      <c r="D677" s="88"/>
      <c r="E677" s="89"/>
      <c r="F677" s="237"/>
      <c r="G677" s="238"/>
      <c r="H677" s="238"/>
      <c r="I677" s="238"/>
      <c r="J677" s="238"/>
      <c r="K677" s="239"/>
      <c r="L677" s="42">
        <f t="shared" ref="L677:Q677" si="151">L34+L87+L122+L136+L154+L192+L270+L290+L416+L443+L548+L635</f>
        <v>5320434000</v>
      </c>
      <c r="M677" s="42">
        <f t="shared" si="151"/>
        <v>811748150</v>
      </c>
      <c r="N677" s="42">
        <f t="shared" si="151"/>
        <v>279597741</v>
      </c>
      <c r="O677" s="42">
        <f t="shared" si="151"/>
        <v>0</v>
      </c>
      <c r="P677" s="42">
        <f t="shared" si="151"/>
        <v>0</v>
      </c>
      <c r="Q677" s="42">
        <f t="shared" si="151"/>
        <v>279597741</v>
      </c>
      <c r="R677" s="59">
        <f>Q677/M677*100</f>
        <v>34.443902459155588</v>
      </c>
      <c r="S677" s="42">
        <f>S34+S87+S122+S136+S154+S192+S270+S290+S416+S443+S548+S635</f>
        <v>532150409</v>
      </c>
      <c r="T677" s="42">
        <f>T34+T87+T122+T136+T154+T192+T270+T290+T416+T443+T548+T635</f>
        <v>1555015250</v>
      </c>
      <c r="U677" s="42">
        <f>T677+M677</f>
        <v>2366763400</v>
      </c>
      <c r="V677" s="42">
        <f>T677+S677</f>
        <v>2087165659</v>
      </c>
      <c r="W677" s="42">
        <f t="shared" ref="W677:AB677" si="152">W34+W87+W122+W136+W154+W192+W270+W290+W416+W443+W548+W635</f>
        <v>314563491</v>
      </c>
      <c r="X677" s="42">
        <f t="shared" si="152"/>
        <v>242114180</v>
      </c>
      <c r="Y677" s="42">
        <f t="shared" si="152"/>
        <v>141408250</v>
      </c>
      <c r="Z677" s="42">
        <f t="shared" si="152"/>
        <v>475953975</v>
      </c>
      <c r="AA677" s="42">
        <f t="shared" si="152"/>
        <v>1821270600</v>
      </c>
      <c r="AB677" s="42">
        <f t="shared" si="152"/>
        <v>5229995000</v>
      </c>
      <c r="AC677" s="42">
        <f t="shared" si="136"/>
        <v>-90439000</v>
      </c>
      <c r="AD677" s="42">
        <f>AA677+T677+M677</f>
        <v>4188034000</v>
      </c>
      <c r="AE677" s="42">
        <f t="shared" ref="AE677:AK677" si="153">AE34+AE87+AE122+AE136+AE154+AE192+AE270+AE290+AE416+AE443+AE548+AE635</f>
        <v>199628400</v>
      </c>
      <c r="AF677" s="42">
        <f t="shared" si="153"/>
        <v>265923400</v>
      </c>
      <c r="AG677" s="42">
        <f t="shared" si="153"/>
        <v>284145622</v>
      </c>
      <c r="AH677" s="42">
        <f t="shared" si="153"/>
        <v>388838175</v>
      </c>
      <c r="AI677" s="42">
        <f t="shared" si="153"/>
        <v>0</v>
      </c>
      <c r="AJ677" s="90">
        <f t="shared" si="153"/>
        <v>320151262</v>
      </c>
      <c r="AK677" s="42">
        <f t="shared" si="153"/>
        <v>2910950496</v>
      </c>
      <c r="AL677" s="42">
        <f>AK677/AB677*100</f>
        <v>55.658762503597039</v>
      </c>
      <c r="AM677" s="42">
        <f>AM34+AM87+AM122+AM136+AM154+AM192+AM270+AM290+AM416+AM443+AM548+AM635</f>
        <v>757631400</v>
      </c>
      <c r="AN677" s="42">
        <f>AN34+AN87+AN122+AN136+AN154+AN192+AN270+AN290+AN416+AN443+AN548+AN635</f>
        <v>195851725</v>
      </c>
      <c r="AO677" s="42">
        <f>AO34+AO87+AO122+AO136+AO154+AO192+AO270+AO290+AO416+AO443+AO548+AO635</f>
        <v>239689962</v>
      </c>
      <c r="AP677" s="42">
        <f>AP34+AP87+AP122+AP136+AP154+AP192+AP270+AP290+AP416+AP443+AP548+AP635</f>
        <v>336272900</v>
      </c>
      <c r="AQ677" s="42">
        <f>AK677+AM677+AN677+AO677+AP677</f>
        <v>4440396483</v>
      </c>
      <c r="AR677" s="42">
        <f>AQ677/AB677*100</f>
        <v>84.902499581739562</v>
      </c>
      <c r="AS677" s="42">
        <f>AB677-AQ677</f>
        <v>789598517</v>
      </c>
      <c r="AT677" s="42" t="e">
        <f>SUM(#REF!)</f>
        <v>#REF!</v>
      </c>
      <c r="AU677" s="42" t="e">
        <f>AT677+U677</f>
        <v>#REF!</v>
      </c>
      <c r="AV677" s="42">
        <f>AK677</f>
        <v>2910950496</v>
      </c>
      <c r="AW677" s="59" t="e">
        <f>AV677/AU677*100</f>
        <v>#REF!</v>
      </c>
      <c r="AX677" s="42" t="e">
        <f>AU677-AV677</f>
        <v>#REF!</v>
      </c>
      <c r="AY677" s="42">
        <f>AS677/AB677*100</f>
        <v>15.097500418260438</v>
      </c>
      <c r="AZ677" s="73">
        <f>AQ677-AO677</f>
        <v>4200706521</v>
      </c>
      <c r="BA677" s="91">
        <f>SUM(BA35:BA676)</f>
        <v>289772945</v>
      </c>
      <c r="BB677" s="91">
        <f>SUM(BB35:BB676)</f>
        <v>259372000</v>
      </c>
    </row>
    <row r="678" spans="1:54" ht="12.75" customHeight="1">
      <c r="AJ678" s="29">
        <f>320151262-AJ677</f>
        <v>0</v>
      </c>
      <c r="AO678" s="92">
        <f>350000000*75%</f>
        <v>262500000</v>
      </c>
      <c r="AY678" s="93"/>
      <c r="AZ678" s="73">
        <f>AQ678-AO678</f>
        <v>-262500000</v>
      </c>
      <c r="BA678" s="94" t="s">
        <v>891</v>
      </c>
      <c r="BB678" s="95" t="s">
        <v>116</v>
      </c>
    </row>
  </sheetData>
  <mergeCells count="1356">
    <mergeCell ref="D3:AY3"/>
    <mergeCell ref="D4:AY4"/>
    <mergeCell ref="D5:AY5"/>
    <mergeCell ref="A8:A9"/>
    <mergeCell ref="B8:E9"/>
    <mergeCell ref="F8:K9"/>
    <mergeCell ref="L8:L9"/>
    <mergeCell ref="M8:M9"/>
    <mergeCell ref="N8:N9"/>
    <mergeCell ref="O8:O9"/>
    <mergeCell ref="C15:E15"/>
    <mergeCell ref="F15:K15"/>
    <mergeCell ref="C16:E16"/>
    <mergeCell ref="G16:K16"/>
    <mergeCell ref="C17:E17"/>
    <mergeCell ref="H17:K17"/>
    <mergeCell ref="C11:E11"/>
    <mergeCell ref="F11:K11"/>
    <mergeCell ref="C12:E12"/>
    <mergeCell ref="H12:K12"/>
    <mergeCell ref="C13:E13"/>
    <mergeCell ref="H13:K13"/>
    <mergeCell ref="AO8:AO9"/>
    <mergeCell ref="AP8:AP9"/>
    <mergeCell ref="AQ8:AQ9"/>
    <mergeCell ref="AR8:AR9"/>
    <mergeCell ref="AT8:AT9"/>
    <mergeCell ref="C10:E10"/>
    <mergeCell ref="F10:K10"/>
    <mergeCell ref="AD8:AD9"/>
    <mergeCell ref="AE8:AE9"/>
    <mergeCell ref="AK8:AK9"/>
    <mergeCell ref="AL8:AL9"/>
    <mergeCell ref="AM8:AM9"/>
    <mergeCell ref="AN8:AN9"/>
    <mergeCell ref="P8:P9"/>
    <mergeCell ref="Q8:Q9"/>
    <mergeCell ref="T8:T9"/>
    <mergeCell ref="AA8:AA9"/>
    <mergeCell ref="AB8:AB9"/>
    <mergeCell ref="AC8:AC9"/>
    <mergeCell ref="C24:E24"/>
    <mergeCell ref="H24:K24"/>
    <mergeCell ref="C25:E25"/>
    <mergeCell ref="H25:K25"/>
    <mergeCell ref="C26:E26"/>
    <mergeCell ref="H26:K26"/>
    <mergeCell ref="C21:E21"/>
    <mergeCell ref="H21:K21"/>
    <mergeCell ref="C22:E22"/>
    <mergeCell ref="H22:K22"/>
    <mergeCell ref="C23:E23"/>
    <mergeCell ref="H23:K23"/>
    <mergeCell ref="C18:E18"/>
    <mergeCell ref="H18:K18"/>
    <mergeCell ref="C19:E19"/>
    <mergeCell ref="H19:K19"/>
    <mergeCell ref="C20:E20"/>
    <mergeCell ref="H20:K20"/>
    <mergeCell ref="C34:E34"/>
    <mergeCell ref="F34:K34"/>
    <mergeCell ref="C35:E35"/>
    <mergeCell ref="G35:K35"/>
    <mergeCell ref="C36:E36"/>
    <mergeCell ref="H36:K36"/>
    <mergeCell ref="C30:E30"/>
    <mergeCell ref="H30:K30"/>
    <mergeCell ref="C32:E32"/>
    <mergeCell ref="H32:K32"/>
    <mergeCell ref="C33:E33"/>
    <mergeCell ref="F33:K33"/>
    <mergeCell ref="C27:E27"/>
    <mergeCell ref="G27:K27"/>
    <mergeCell ref="C28:E28"/>
    <mergeCell ref="H28:K28"/>
    <mergeCell ref="C29:E29"/>
    <mergeCell ref="G29:K29"/>
    <mergeCell ref="C43:E43"/>
    <mergeCell ref="I43:K43"/>
    <mergeCell ref="C44:E44"/>
    <mergeCell ref="J44:K44"/>
    <mergeCell ref="C45:E45"/>
    <mergeCell ref="G45:K45"/>
    <mergeCell ref="C40:E40"/>
    <mergeCell ref="I40:K40"/>
    <mergeCell ref="C41:E41"/>
    <mergeCell ref="J41:K41"/>
    <mergeCell ref="C42:E42"/>
    <mergeCell ref="J42:K42"/>
    <mergeCell ref="C37:E37"/>
    <mergeCell ref="I37:K37"/>
    <mergeCell ref="C38:E38"/>
    <mergeCell ref="J38:K38"/>
    <mergeCell ref="C39:E39"/>
    <mergeCell ref="J39:K39"/>
    <mergeCell ref="C52:E52"/>
    <mergeCell ref="J52:K52"/>
    <mergeCell ref="C53:E53"/>
    <mergeCell ref="G53:K53"/>
    <mergeCell ref="C54:E54"/>
    <mergeCell ref="H54:K54"/>
    <mergeCell ref="C49:E49"/>
    <mergeCell ref="J49:K49"/>
    <mergeCell ref="C50:E50"/>
    <mergeCell ref="J50:K50"/>
    <mergeCell ref="C51:E51"/>
    <mergeCell ref="J51:K51"/>
    <mergeCell ref="C46:E46"/>
    <mergeCell ref="H46:K46"/>
    <mergeCell ref="C47:E47"/>
    <mergeCell ref="I47:K47"/>
    <mergeCell ref="C48:E48"/>
    <mergeCell ref="J48:K48"/>
    <mergeCell ref="C61:E61"/>
    <mergeCell ref="J61:K61"/>
    <mergeCell ref="C62:E62"/>
    <mergeCell ref="J62:K62"/>
    <mergeCell ref="C63:E63"/>
    <mergeCell ref="I63:K63"/>
    <mergeCell ref="C58:E58"/>
    <mergeCell ref="J58:K58"/>
    <mergeCell ref="C59:E59"/>
    <mergeCell ref="H59:K59"/>
    <mergeCell ref="C60:E60"/>
    <mergeCell ref="I60:K60"/>
    <mergeCell ref="C55:E55"/>
    <mergeCell ref="I55:K55"/>
    <mergeCell ref="C56:E56"/>
    <mergeCell ref="J56:K56"/>
    <mergeCell ref="C57:E57"/>
    <mergeCell ref="I57:K57"/>
    <mergeCell ref="C70:E70"/>
    <mergeCell ref="H70:K70"/>
    <mergeCell ref="C71:E71"/>
    <mergeCell ref="I71:K71"/>
    <mergeCell ref="C72:E72"/>
    <mergeCell ref="J72:K72"/>
    <mergeCell ref="C67:E67"/>
    <mergeCell ref="I67:K67"/>
    <mergeCell ref="C68:E68"/>
    <mergeCell ref="J68:K68"/>
    <mergeCell ref="C69:E69"/>
    <mergeCell ref="G69:K69"/>
    <mergeCell ref="C64:E64"/>
    <mergeCell ref="J64:K64"/>
    <mergeCell ref="C65:E65"/>
    <mergeCell ref="I65:K65"/>
    <mergeCell ref="C66:E66"/>
    <mergeCell ref="J66:K66"/>
    <mergeCell ref="C79:E79"/>
    <mergeCell ref="I79:K79"/>
    <mergeCell ref="C80:E80"/>
    <mergeCell ref="J80:K80"/>
    <mergeCell ref="C81:E81"/>
    <mergeCell ref="I81:K81"/>
    <mergeCell ref="C76:E76"/>
    <mergeCell ref="J76:K76"/>
    <mergeCell ref="C77:E77"/>
    <mergeCell ref="G77:K77"/>
    <mergeCell ref="C78:E78"/>
    <mergeCell ref="H78:K78"/>
    <mergeCell ref="C73:E73"/>
    <mergeCell ref="I73:K73"/>
    <mergeCell ref="C74:E74"/>
    <mergeCell ref="J74:K74"/>
    <mergeCell ref="C75:E75"/>
    <mergeCell ref="I75:K75"/>
    <mergeCell ref="C88:E88"/>
    <mergeCell ref="G88:K88"/>
    <mergeCell ref="C89:E89"/>
    <mergeCell ref="H89:K89"/>
    <mergeCell ref="C90:E90"/>
    <mergeCell ref="I90:K90"/>
    <mergeCell ref="C85:E85"/>
    <mergeCell ref="I85:K85"/>
    <mergeCell ref="C86:E86"/>
    <mergeCell ref="J86:K86"/>
    <mergeCell ref="C87:E87"/>
    <mergeCell ref="F87:K87"/>
    <mergeCell ref="C82:E82"/>
    <mergeCell ref="J82:K82"/>
    <mergeCell ref="C83:E83"/>
    <mergeCell ref="I83:K83"/>
    <mergeCell ref="C84:E84"/>
    <mergeCell ref="J84:K84"/>
    <mergeCell ref="C97:E97"/>
    <mergeCell ref="J97:K97"/>
    <mergeCell ref="C98:E98"/>
    <mergeCell ref="I98:K98"/>
    <mergeCell ref="C99:E99"/>
    <mergeCell ref="J99:K99"/>
    <mergeCell ref="C94:E94"/>
    <mergeCell ref="J94:K94"/>
    <mergeCell ref="C95:E95"/>
    <mergeCell ref="I95:K95"/>
    <mergeCell ref="C96:E96"/>
    <mergeCell ref="J96:K96"/>
    <mergeCell ref="C91:E91"/>
    <mergeCell ref="J91:K91"/>
    <mergeCell ref="C92:E92"/>
    <mergeCell ref="J92:K92"/>
    <mergeCell ref="C93:E93"/>
    <mergeCell ref="I93:K93"/>
    <mergeCell ref="C106:E106"/>
    <mergeCell ref="J106:K106"/>
    <mergeCell ref="C107:E107"/>
    <mergeCell ref="J107:K107"/>
    <mergeCell ref="C108:E108"/>
    <mergeCell ref="J108:K108"/>
    <mergeCell ref="C103:E103"/>
    <mergeCell ref="H103:K103"/>
    <mergeCell ref="C104:E104"/>
    <mergeCell ref="I104:K104"/>
    <mergeCell ref="C105:E105"/>
    <mergeCell ref="J105:K105"/>
    <mergeCell ref="C100:E100"/>
    <mergeCell ref="I100:K100"/>
    <mergeCell ref="C101:E101"/>
    <mergeCell ref="J101:K101"/>
    <mergeCell ref="C102:E102"/>
    <mergeCell ref="G102:K102"/>
    <mergeCell ref="C115:E115"/>
    <mergeCell ref="H115:K115"/>
    <mergeCell ref="C116:E116"/>
    <mergeCell ref="I116:K116"/>
    <mergeCell ref="C117:E117"/>
    <mergeCell ref="J117:K117"/>
    <mergeCell ref="C112:E112"/>
    <mergeCell ref="I112:K112"/>
    <mergeCell ref="C113:E113"/>
    <mergeCell ref="J113:K113"/>
    <mergeCell ref="C114:E114"/>
    <mergeCell ref="G114:K114"/>
    <mergeCell ref="C109:E109"/>
    <mergeCell ref="J109:K109"/>
    <mergeCell ref="C110:E110"/>
    <mergeCell ref="G110:K110"/>
    <mergeCell ref="C111:E111"/>
    <mergeCell ref="H111:K111"/>
    <mergeCell ref="C124:E124"/>
    <mergeCell ref="H124:K124"/>
    <mergeCell ref="C125:E125"/>
    <mergeCell ref="I125:K125"/>
    <mergeCell ref="C126:E126"/>
    <mergeCell ref="J126:K126"/>
    <mergeCell ref="C121:E121"/>
    <mergeCell ref="J121:K121"/>
    <mergeCell ref="C122:E122"/>
    <mergeCell ref="F122:K122"/>
    <mergeCell ref="C123:E123"/>
    <mergeCell ref="G123:K123"/>
    <mergeCell ref="C118:E118"/>
    <mergeCell ref="G118:K118"/>
    <mergeCell ref="C119:E119"/>
    <mergeCell ref="H119:K119"/>
    <mergeCell ref="C120:E120"/>
    <mergeCell ref="I120:K120"/>
    <mergeCell ref="C133:E133"/>
    <mergeCell ref="J133:K133"/>
    <mergeCell ref="C134:E134"/>
    <mergeCell ref="I134:K134"/>
    <mergeCell ref="C135:E135"/>
    <mergeCell ref="J135:K135"/>
    <mergeCell ref="C130:E130"/>
    <mergeCell ref="I130:K130"/>
    <mergeCell ref="C131:E131"/>
    <mergeCell ref="J131:K131"/>
    <mergeCell ref="C132:E132"/>
    <mergeCell ref="I132:K132"/>
    <mergeCell ref="C127:E127"/>
    <mergeCell ref="H127:K127"/>
    <mergeCell ref="C128:E128"/>
    <mergeCell ref="I128:K128"/>
    <mergeCell ref="C129:E129"/>
    <mergeCell ref="J129:K129"/>
    <mergeCell ref="C142:E142"/>
    <mergeCell ref="J142:K142"/>
    <mergeCell ref="C143:E143"/>
    <mergeCell ref="H143:K143"/>
    <mergeCell ref="C144:E144"/>
    <mergeCell ref="I144:K144"/>
    <mergeCell ref="C139:E139"/>
    <mergeCell ref="I139:K139"/>
    <mergeCell ref="C140:E140"/>
    <mergeCell ref="J140:K140"/>
    <mergeCell ref="C141:E141"/>
    <mergeCell ref="I141:K141"/>
    <mergeCell ref="C136:E136"/>
    <mergeCell ref="F136:K136"/>
    <mergeCell ref="C137:E137"/>
    <mergeCell ref="G137:K137"/>
    <mergeCell ref="C138:E138"/>
    <mergeCell ref="H138:K138"/>
    <mergeCell ref="C151:E151"/>
    <mergeCell ref="I151:K151"/>
    <mergeCell ref="C152:E152"/>
    <mergeCell ref="J152:K152"/>
    <mergeCell ref="C153:E153"/>
    <mergeCell ref="J153:K153"/>
    <mergeCell ref="C148:E148"/>
    <mergeCell ref="J148:K148"/>
    <mergeCell ref="C149:E149"/>
    <mergeCell ref="I149:K149"/>
    <mergeCell ref="C150:E150"/>
    <mergeCell ref="J150:K150"/>
    <mergeCell ref="C145:E145"/>
    <mergeCell ref="J145:K145"/>
    <mergeCell ref="C146:E146"/>
    <mergeCell ref="I146:K146"/>
    <mergeCell ref="C147:E147"/>
    <mergeCell ref="J147:K147"/>
    <mergeCell ref="C160:E160"/>
    <mergeCell ref="I160:K160"/>
    <mergeCell ref="C161:E161"/>
    <mergeCell ref="J161:K161"/>
    <mergeCell ref="C162:E162"/>
    <mergeCell ref="J162:K162"/>
    <mergeCell ref="C157:E157"/>
    <mergeCell ref="I157:K157"/>
    <mergeCell ref="C158:E158"/>
    <mergeCell ref="J158:K158"/>
    <mergeCell ref="C159:E159"/>
    <mergeCell ref="J159:K159"/>
    <mergeCell ref="C154:E154"/>
    <mergeCell ref="F154:K154"/>
    <mergeCell ref="C155:E155"/>
    <mergeCell ref="G155:K155"/>
    <mergeCell ref="C156:E156"/>
    <mergeCell ref="H156:K156"/>
    <mergeCell ref="C169:E169"/>
    <mergeCell ref="H169:K169"/>
    <mergeCell ref="C170:E170"/>
    <mergeCell ref="I170:K170"/>
    <mergeCell ref="C171:E171"/>
    <mergeCell ref="J171:K171"/>
    <mergeCell ref="C166:E166"/>
    <mergeCell ref="J166:K166"/>
    <mergeCell ref="C167:E167"/>
    <mergeCell ref="J167:K167"/>
    <mergeCell ref="C168:E168"/>
    <mergeCell ref="G168:K168"/>
    <mergeCell ref="C163:E163"/>
    <mergeCell ref="I163:K163"/>
    <mergeCell ref="C164:E164"/>
    <mergeCell ref="J164:K164"/>
    <mergeCell ref="C165:E165"/>
    <mergeCell ref="I165:K165"/>
    <mergeCell ref="C178:E178"/>
    <mergeCell ref="I178:K178"/>
    <mergeCell ref="C179:E179"/>
    <mergeCell ref="J179:K179"/>
    <mergeCell ref="C180:E180"/>
    <mergeCell ref="J180:K180"/>
    <mergeCell ref="C175:E175"/>
    <mergeCell ref="I175:K175"/>
    <mergeCell ref="C176:E176"/>
    <mergeCell ref="J176:K176"/>
    <mergeCell ref="C177:E177"/>
    <mergeCell ref="J177:K177"/>
    <mergeCell ref="C172:E172"/>
    <mergeCell ref="I172:K172"/>
    <mergeCell ref="C173:E173"/>
    <mergeCell ref="J173:K173"/>
    <mergeCell ref="C174:E174"/>
    <mergeCell ref="H174:K174"/>
    <mergeCell ref="C187:E187"/>
    <mergeCell ref="I187:K187"/>
    <mergeCell ref="C188:E188"/>
    <mergeCell ref="J188:K188"/>
    <mergeCell ref="C189:E189"/>
    <mergeCell ref="I189:K189"/>
    <mergeCell ref="C184:E184"/>
    <mergeCell ref="J184:K184"/>
    <mergeCell ref="C185:E185"/>
    <mergeCell ref="I185:K185"/>
    <mergeCell ref="C186:E186"/>
    <mergeCell ref="J186:K186"/>
    <mergeCell ref="C181:E181"/>
    <mergeCell ref="J181:K181"/>
    <mergeCell ref="C182:E182"/>
    <mergeCell ref="I182:K182"/>
    <mergeCell ref="C183:E183"/>
    <mergeCell ref="J183:K183"/>
    <mergeCell ref="C196:E196"/>
    <mergeCell ref="J196:K196"/>
    <mergeCell ref="C197:E197"/>
    <mergeCell ref="I197:K197"/>
    <mergeCell ref="C198:E198"/>
    <mergeCell ref="J198:K198"/>
    <mergeCell ref="C193:E193"/>
    <mergeCell ref="G193:K193"/>
    <mergeCell ref="C194:E194"/>
    <mergeCell ref="H194:K194"/>
    <mergeCell ref="C195:E195"/>
    <mergeCell ref="I195:K195"/>
    <mergeCell ref="C190:E190"/>
    <mergeCell ref="J190:K190"/>
    <mergeCell ref="C191:E191"/>
    <mergeCell ref="J191:K191"/>
    <mergeCell ref="C192:E192"/>
    <mergeCell ref="F192:K192"/>
    <mergeCell ref="C205:E205"/>
    <mergeCell ref="H205:K205"/>
    <mergeCell ref="C206:E206"/>
    <mergeCell ref="I206:K206"/>
    <mergeCell ref="C207:E207"/>
    <mergeCell ref="J207:K207"/>
    <mergeCell ref="C202:E202"/>
    <mergeCell ref="I202:K202"/>
    <mergeCell ref="C203:E203"/>
    <mergeCell ref="J203:K203"/>
    <mergeCell ref="C204:E204"/>
    <mergeCell ref="J204:K204"/>
    <mergeCell ref="C199:E199"/>
    <mergeCell ref="J199:K199"/>
    <mergeCell ref="C200:E200"/>
    <mergeCell ref="G200:K200"/>
    <mergeCell ref="C201:E201"/>
    <mergeCell ref="H201:K201"/>
    <mergeCell ref="C214:E214"/>
    <mergeCell ref="J214:K214"/>
    <mergeCell ref="C215:E215"/>
    <mergeCell ref="I215:K215"/>
    <mergeCell ref="C216:E216"/>
    <mergeCell ref="J216:K216"/>
    <mergeCell ref="C211:E211"/>
    <mergeCell ref="J211:K211"/>
    <mergeCell ref="C212:E212"/>
    <mergeCell ref="I212:K212"/>
    <mergeCell ref="C213:E213"/>
    <mergeCell ref="J213:K213"/>
    <mergeCell ref="C208:E208"/>
    <mergeCell ref="I208:K208"/>
    <mergeCell ref="C209:E209"/>
    <mergeCell ref="J209:K209"/>
    <mergeCell ref="C210:E210"/>
    <mergeCell ref="I210:K210"/>
    <mergeCell ref="C223:E223"/>
    <mergeCell ref="I223:K223"/>
    <mergeCell ref="C224:E224"/>
    <mergeCell ref="J224:K224"/>
    <mergeCell ref="C225:E225"/>
    <mergeCell ref="G225:K225"/>
    <mergeCell ref="C220:E220"/>
    <mergeCell ref="J220:K220"/>
    <mergeCell ref="C221:E221"/>
    <mergeCell ref="G221:K221"/>
    <mergeCell ref="C222:E222"/>
    <mergeCell ref="H222:K222"/>
    <mergeCell ref="C217:E217"/>
    <mergeCell ref="I217:K217"/>
    <mergeCell ref="C218:E218"/>
    <mergeCell ref="J218:K218"/>
    <mergeCell ref="C219:E219"/>
    <mergeCell ref="I219:K219"/>
    <mergeCell ref="C232:E232"/>
    <mergeCell ref="J232:K232"/>
    <mergeCell ref="C233:E233"/>
    <mergeCell ref="I233:K233"/>
    <mergeCell ref="C234:E234"/>
    <mergeCell ref="J234:K234"/>
    <mergeCell ref="C229:E229"/>
    <mergeCell ref="J229:K229"/>
    <mergeCell ref="C230:E230"/>
    <mergeCell ref="H230:K230"/>
    <mergeCell ref="C231:E231"/>
    <mergeCell ref="I231:K231"/>
    <mergeCell ref="C226:E226"/>
    <mergeCell ref="H226:K226"/>
    <mergeCell ref="C227:E227"/>
    <mergeCell ref="I227:K227"/>
    <mergeCell ref="C228:E228"/>
    <mergeCell ref="J228:K228"/>
    <mergeCell ref="C241:E241"/>
    <mergeCell ref="I241:K241"/>
    <mergeCell ref="C242:E242"/>
    <mergeCell ref="J242:K242"/>
    <mergeCell ref="C243:E243"/>
    <mergeCell ref="I243:K243"/>
    <mergeCell ref="C238:E238"/>
    <mergeCell ref="I238:K238"/>
    <mergeCell ref="C239:E239"/>
    <mergeCell ref="J239:K239"/>
    <mergeCell ref="C240:E240"/>
    <mergeCell ref="J240:K240"/>
    <mergeCell ref="C235:E235"/>
    <mergeCell ref="I235:K235"/>
    <mergeCell ref="C236:E236"/>
    <mergeCell ref="J236:K236"/>
    <mergeCell ref="C237:E237"/>
    <mergeCell ref="J237:K237"/>
    <mergeCell ref="C250:E250"/>
    <mergeCell ref="I250:K250"/>
    <mergeCell ref="C251:E251"/>
    <mergeCell ref="J251:K251"/>
    <mergeCell ref="C252:E252"/>
    <mergeCell ref="J252:K252"/>
    <mergeCell ref="C247:E247"/>
    <mergeCell ref="J247:K247"/>
    <mergeCell ref="C248:E248"/>
    <mergeCell ref="G248:K248"/>
    <mergeCell ref="C249:E249"/>
    <mergeCell ref="H249:K249"/>
    <mergeCell ref="C244:E244"/>
    <mergeCell ref="J244:K244"/>
    <mergeCell ref="C245:E245"/>
    <mergeCell ref="J245:K245"/>
    <mergeCell ref="C246:E246"/>
    <mergeCell ref="I246:K246"/>
    <mergeCell ref="C259:E259"/>
    <mergeCell ref="J259:K259"/>
    <mergeCell ref="C260:E260"/>
    <mergeCell ref="J260:K260"/>
    <mergeCell ref="C261:E261"/>
    <mergeCell ref="I261:K261"/>
    <mergeCell ref="C256:E256"/>
    <mergeCell ref="I256:K256"/>
    <mergeCell ref="C257:E257"/>
    <mergeCell ref="J257:K257"/>
    <mergeCell ref="C258:E258"/>
    <mergeCell ref="I258:K258"/>
    <mergeCell ref="C253:E253"/>
    <mergeCell ref="H253:K253"/>
    <mergeCell ref="C254:E254"/>
    <mergeCell ref="I254:K254"/>
    <mergeCell ref="C255:E255"/>
    <mergeCell ref="J255:K255"/>
    <mergeCell ref="C268:E268"/>
    <mergeCell ref="I268:K268"/>
    <mergeCell ref="C269:E269"/>
    <mergeCell ref="J269:K269"/>
    <mergeCell ref="C270:E270"/>
    <mergeCell ref="F270:K270"/>
    <mergeCell ref="C265:E265"/>
    <mergeCell ref="I265:K265"/>
    <mergeCell ref="C266:E266"/>
    <mergeCell ref="J266:K266"/>
    <mergeCell ref="C267:E267"/>
    <mergeCell ref="J267:K267"/>
    <mergeCell ref="C262:E262"/>
    <mergeCell ref="J262:K262"/>
    <mergeCell ref="C263:E263"/>
    <mergeCell ref="I263:K263"/>
    <mergeCell ref="C264:E264"/>
    <mergeCell ref="J264:K264"/>
    <mergeCell ref="C277:E277"/>
    <mergeCell ref="J277:K277"/>
    <mergeCell ref="C278:E278"/>
    <mergeCell ref="I278:K278"/>
    <mergeCell ref="C279:E279"/>
    <mergeCell ref="J279:K279"/>
    <mergeCell ref="C274:E274"/>
    <mergeCell ref="J274:K274"/>
    <mergeCell ref="C275:E275"/>
    <mergeCell ref="H275:K275"/>
    <mergeCell ref="C276:E276"/>
    <mergeCell ref="I276:K276"/>
    <mergeCell ref="C271:E271"/>
    <mergeCell ref="G271:K271"/>
    <mergeCell ref="C272:E272"/>
    <mergeCell ref="H272:K272"/>
    <mergeCell ref="C273:E273"/>
    <mergeCell ref="I273:K273"/>
    <mergeCell ref="C286:E286"/>
    <mergeCell ref="J286:K286"/>
    <mergeCell ref="C287:E287"/>
    <mergeCell ref="J287:K287"/>
    <mergeCell ref="C288:E288"/>
    <mergeCell ref="I288:K288"/>
    <mergeCell ref="C283:E283"/>
    <mergeCell ref="I283:K283"/>
    <mergeCell ref="C284:E284"/>
    <mergeCell ref="J284:K284"/>
    <mergeCell ref="C285:E285"/>
    <mergeCell ref="I285:K285"/>
    <mergeCell ref="C280:E280"/>
    <mergeCell ref="J280:K280"/>
    <mergeCell ref="C281:E281"/>
    <mergeCell ref="I281:K281"/>
    <mergeCell ref="C282:E282"/>
    <mergeCell ref="J282:K282"/>
    <mergeCell ref="C295:E295"/>
    <mergeCell ref="H295:K295"/>
    <mergeCell ref="C296:E296"/>
    <mergeCell ref="I296:K296"/>
    <mergeCell ref="C297:E297"/>
    <mergeCell ref="J297:K297"/>
    <mergeCell ref="C292:E292"/>
    <mergeCell ref="H292:K292"/>
    <mergeCell ref="C293:E293"/>
    <mergeCell ref="I293:K293"/>
    <mergeCell ref="C294:E294"/>
    <mergeCell ref="J294:K294"/>
    <mergeCell ref="C289:E289"/>
    <mergeCell ref="J289:K289"/>
    <mergeCell ref="C290:E290"/>
    <mergeCell ref="F290:K290"/>
    <mergeCell ref="C291:E291"/>
    <mergeCell ref="G291:K291"/>
    <mergeCell ref="C304:E304"/>
    <mergeCell ref="I304:K304"/>
    <mergeCell ref="C305:E305"/>
    <mergeCell ref="J305:K305"/>
    <mergeCell ref="C306:E306"/>
    <mergeCell ref="J306:K306"/>
    <mergeCell ref="C301:E301"/>
    <mergeCell ref="J301:K301"/>
    <mergeCell ref="C302:E302"/>
    <mergeCell ref="I302:K302"/>
    <mergeCell ref="C303:E303"/>
    <mergeCell ref="J303:K303"/>
    <mergeCell ref="C298:E298"/>
    <mergeCell ref="I298:K298"/>
    <mergeCell ref="C299:E299"/>
    <mergeCell ref="J299:K299"/>
    <mergeCell ref="C300:E300"/>
    <mergeCell ref="I300:K300"/>
    <mergeCell ref="C313:E313"/>
    <mergeCell ref="H313:K313"/>
    <mergeCell ref="C314:E314"/>
    <mergeCell ref="I314:K314"/>
    <mergeCell ref="C315:E315"/>
    <mergeCell ref="J315:K315"/>
    <mergeCell ref="C310:E310"/>
    <mergeCell ref="H310:K310"/>
    <mergeCell ref="C311:E311"/>
    <mergeCell ref="I311:K311"/>
    <mergeCell ref="C312:E312"/>
    <mergeCell ref="J312:K312"/>
    <mergeCell ref="C307:E307"/>
    <mergeCell ref="I307:K307"/>
    <mergeCell ref="C308:E308"/>
    <mergeCell ref="J308:K308"/>
    <mergeCell ref="C309:E309"/>
    <mergeCell ref="G309:K309"/>
    <mergeCell ref="C322:E322"/>
    <mergeCell ref="I322:K322"/>
    <mergeCell ref="C323:E323"/>
    <mergeCell ref="J323:K323"/>
    <mergeCell ref="C324:E324"/>
    <mergeCell ref="I324:K324"/>
    <mergeCell ref="C319:E319"/>
    <mergeCell ref="I319:K319"/>
    <mergeCell ref="C320:E320"/>
    <mergeCell ref="J320:K320"/>
    <mergeCell ref="C321:E321"/>
    <mergeCell ref="J321:K321"/>
    <mergeCell ref="C316:E316"/>
    <mergeCell ref="I316:K316"/>
    <mergeCell ref="C317:E317"/>
    <mergeCell ref="J317:K317"/>
    <mergeCell ref="C318:E318"/>
    <mergeCell ref="J318:K318"/>
    <mergeCell ref="C331:E331"/>
    <mergeCell ref="I331:K331"/>
    <mergeCell ref="C332:E332"/>
    <mergeCell ref="J332:K332"/>
    <mergeCell ref="C333:E333"/>
    <mergeCell ref="J333:K333"/>
    <mergeCell ref="C328:E328"/>
    <mergeCell ref="J328:K328"/>
    <mergeCell ref="C329:E329"/>
    <mergeCell ref="G329:K329"/>
    <mergeCell ref="C330:E330"/>
    <mergeCell ref="H330:K330"/>
    <mergeCell ref="C325:E325"/>
    <mergeCell ref="J325:K325"/>
    <mergeCell ref="C326:E326"/>
    <mergeCell ref="J326:K326"/>
    <mergeCell ref="C327:E327"/>
    <mergeCell ref="I327:K327"/>
    <mergeCell ref="C340:E340"/>
    <mergeCell ref="J340:K340"/>
    <mergeCell ref="C341:E341"/>
    <mergeCell ref="I341:K341"/>
    <mergeCell ref="C342:E342"/>
    <mergeCell ref="J342:K342"/>
    <mergeCell ref="C337:E337"/>
    <mergeCell ref="I337:K337"/>
    <mergeCell ref="C338:E338"/>
    <mergeCell ref="J338:K338"/>
    <mergeCell ref="C339:E339"/>
    <mergeCell ref="I339:K339"/>
    <mergeCell ref="C334:E334"/>
    <mergeCell ref="H334:K334"/>
    <mergeCell ref="C335:E335"/>
    <mergeCell ref="I335:K335"/>
    <mergeCell ref="C336:E336"/>
    <mergeCell ref="J336:K336"/>
    <mergeCell ref="C349:E349"/>
    <mergeCell ref="I349:K349"/>
    <mergeCell ref="C350:E350"/>
    <mergeCell ref="J350:K350"/>
    <mergeCell ref="C351:E351"/>
    <mergeCell ref="G351:K351"/>
    <mergeCell ref="C346:E346"/>
    <mergeCell ref="I346:K346"/>
    <mergeCell ref="C347:E347"/>
    <mergeCell ref="J347:K347"/>
    <mergeCell ref="C348:E348"/>
    <mergeCell ref="J348:K348"/>
    <mergeCell ref="C343:E343"/>
    <mergeCell ref="J343:K343"/>
    <mergeCell ref="C344:E344"/>
    <mergeCell ref="I344:K344"/>
    <mergeCell ref="C345:E345"/>
    <mergeCell ref="J345:K345"/>
    <mergeCell ref="C358:E358"/>
    <mergeCell ref="J358:K358"/>
    <mergeCell ref="C359:E359"/>
    <mergeCell ref="I359:K359"/>
    <mergeCell ref="C360:E360"/>
    <mergeCell ref="J360:K360"/>
    <mergeCell ref="C355:E355"/>
    <mergeCell ref="J355:K355"/>
    <mergeCell ref="C356:E356"/>
    <mergeCell ref="H356:K356"/>
    <mergeCell ref="C357:E357"/>
    <mergeCell ref="I357:K357"/>
    <mergeCell ref="C352:E352"/>
    <mergeCell ref="H352:K352"/>
    <mergeCell ref="C353:E353"/>
    <mergeCell ref="I353:K353"/>
    <mergeCell ref="C354:E354"/>
    <mergeCell ref="J354:K354"/>
    <mergeCell ref="C367:E367"/>
    <mergeCell ref="I367:K367"/>
    <mergeCell ref="C368:E368"/>
    <mergeCell ref="J368:K368"/>
    <mergeCell ref="C369:E369"/>
    <mergeCell ref="I369:K369"/>
    <mergeCell ref="C364:E364"/>
    <mergeCell ref="I364:K364"/>
    <mergeCell ref="C365:E365"/>
    <mergeCell ref="J365:K365"/>
    <mergeCell ref="C366:E366"/>
    <mergeCell ref="J366:K366"/>
    <mergeCell ref="C361:E361"/>
    <mergeCell ref="I361:K361"/>
    <mergeCell ref="C362:E362"/>
    <mergeCell ref="J362:K362"/>
    <mergeCell ref="C363:E363"/>
    <mergeCell ref="J363:K363"/>
    <mergeCell ref="C376:E376"/>
    <mergeCell ref="I376:K376"/>
    <mergeCell ref="C377:E377"/>
    <mergeCell ref="J377:K377"/>
    <mergeCell ref="C378:E378"/>
    <mergeCell ref="H378:K378"/>
    <mergeCell ref="C373:E373"/>
    <mergeCell ref="J373:K373"/>
    <mergeCell ref="C374:E374"/>
    <mergeCell ref="G374:K374"/>
    <mergeCell ref="C375:E375"/>
    <mergeCell ref="H375:K375"/>
    <mergeCell ref="C370:E370"/>
    <mergeCell ref="J370:K370"/>
    <mergeCell ref="C371:E371"/>
    <mergeCell ref="J371:K371"/>
    <mergeCell ref="C372:E372"/>
    <mergeCell ref="I372:K372"/>
    <mergeCell ref="C385:E385"/>
    <mergeCell ref="J385:K385"/>
    <mergeCell ref="C386:E386"/>
    <mergeCell ref="J386:K386"/>
    <mergeCell ref="C387:E387"/>
    <mergeCell ref="I387:K387"/>
    <mergeCell ref="C382:E382"/>
    <mergeCell ref="J382:K382"/>
    <mergeCell ref="C383:E383"/>
    <mergeCell ref="J383:K383"/>
    <mergeCell ref="C384:E384"/>
    <mergeCell ref="I384:K384"/>
    <mergeCell ref="C379:E379"/>
    <mergeCell ref="I379:K379"/>
    <mergeCell ref="C380:E380"/>
    <mergeCell ref="J380:K380"/>
    <mergeCell ref="C381:E381"/>
    <mergeCell ref="I381:K381"/>
    <mergeCell ref="C394:E394"/>
    <mergeCell ref="J394:K394"/>
    <mergeCell ref="C395:E395"/>
    <mergeCell ref="G395:K395"/>
    <mergeCell ref="C396:E396"/>
    <mergeCell ref="H396:K396"/>
    <mergeCell ref="C391:E391"/>
    <mergeCell ref="J391:K391"/>
    <mergeCell ref="C392:E392"/>
    <mergeCell ref="I392:K392"/>
    <mergeCell ref="C393:E393"/>
    <mergeCell ref="J393:K393"/>
    <mergeCell ref="C388:E388"/>
    <mergeCell ref="J388:K388"/>
    <mergeCell ref="C389:E389"/>
    <mergeCell ref="J389:K389"/>
    <mergeCell ref="C390:E390"/>
    <mergeCell ref="I390:K390"/>
    <mergeCell ref="C403:E403"/>
    <mergeCell ref="I403:K403"/>
    <mergeCell ref="C404:E404"/>
    <mergeCell ref="J404:K404"/>
    <mergeCell ref="C405:E405"/>
    <mergeCell ref="J405:K405"/>
    <mergeCell ref="C400:E400"/>
    <mergeCell ref="H400:K400"/>
    <mergeCell ref="C401:E401"/>
    <mergeCell ref="I401:K401"/>
    <mergeCell ref="C402:E402"/>
    <mergeCell ref="J402:K402"/>
    <mergeCell ref="C397:E397"/>
    <mergeCell ref="I397:K397"/>
    <mergeCell ref="C398:E398"/>
    <mergeCell ref="J398:K398"/>
    <mergeCell ref="C399:E399"/>
    <mergeCell ref="J399:K399"/>
    <mergeCell ref="C412:E412"/>
    <mergeCell ref="J412:K412"/>
    <mergeCell ref="C413:E413"/>
    <mergeCell ref="J413:K413"/>
    <mergeCell ref="C414:E414"/>
    <mergeCell ref="I414:K414"/>
    <mergeCell ref="C409:E409"/>
    <mergeCell ref="I409:K409"/>
    <mergeCell ref="C410:E410"/>
    <mergeCell ref="J410:K410"/>
    <mergeCell ref="C411:E411"/>
    <mergeCell ref="I411:K411"/>
    <mergeCell ref="C406:E406"/>
    <mergeCell ref="I406:K406"/>
    <mergeCell ref="C407:E407"/>
    <mergeCell ref="J407:K407"/>
    <mergeCell ref="C408:E408"/>
    <mergeCell ref="J408:K408"/>
    <mergeCell ref="C421:E421"/>
    <mergeCell ref="H421:K421"/>
    <mergeCell ref="C422:E422"/>
    <mergeCell ref="I422:K422"/>
    <mergeCell ref="C423:E423"/>
    <mergeCell ref="J423:K423"/>
    <mergeCell ref="C418:E418"/>
    <mergeCell ref="H418:K418"/>
    <mergeCell ref="C419:E419"/>
    <mergeCell ref="I419:K419"/>
    <mergeCell ref="C420:E420"/>
    <mergeCell ref="J420:K420"/>
    <mergeCell ref="C415:E415"/>
    <mergeCell ref="J415:K415"/>
    <mergeCell ref="C416:E416"/>
    <mergeCell ref="F416:K416"/>
    <mergeCell ref="C417:E417"/>
    <mergeCell ref="G417:K417"/>
    <mergeCell ref="C430:E430"/>
    <mergeCell ref="J430:K430"/>
    <mergeCell ref="C431:E431"/>
    <mergeCell ref="I431:K431"/>
    <mergeCell ref="C432:E432"/>
    <mergeCell ref="J432:K432"/>
    <mergeCell ref="C427:E427"/>
    <mergeCell ref="I427:K427"/>
    <mergeCell ref="C428:E428"/>
    <mergeCell ref="J428:K428"/>
    <mergeCell ref="C429:E429"/>
    <mergeCell ref="J429:K429"/>
    <mergeCell ref="C424:E424"/>
    <mergeCell ref="I424:K424"/>
    <mergeCell ref="C425:E425"/>
    <mergeCell ref="J425:K425"/>
    <mergeCell ref="C426:E426"/>
    <mergeCell ref="J426:K426"/>
    <mergeCell ref="C439:E439"/>
    <mergeCell ref="J439:K439"/>
    <mergeCell ref="C440:E440"/>
    <mergeCell ref="H440:K440"/>
    <mergeCell ref="C441:E441"/>
    <mergeCell ref="I441:K441"/>
    <mergeCell ref="C436:E436"/>
    <mergeCell ref="J436:K436"/>
    <mergeCell ref="C437:E437"/>
    <mergeCell ref="J437:K437"/>
    <mergeCell ref="C438:E438"/>
    <mergeCell ref="I438:K438"/>
    <mergeCell ref="C433:E433"/>
    <mergeCell ref="I433:K433"/>
    <mergeCell ref="C434:E434"/>
    <mergeCell ref="J434:K434"/>
    <mergeCell ref="C435:E435"/>
    <mergeCell ref="I435:K435"/>
    <mergeCell ref="C448:E448"/>
    <mergeCell ref="H448:K448"/>
    <mergeCell ref="C449:E449"/>
    <mergeCell ref="I449:K449"/>
    <mergeCell ref="C450:E450"/>
    <mergeCell ref="J450:K450"/>
    <mergeCell ref="C445:E445"/>
    <mergeCell ref="H445:K445"/>
    <mergeCell ref="C446:E446"/>
    <mergeCell ref="I446:K446"/>
    <mergeCell ref="C447:E447"/>
    <mergeCell ref="J447:K447"/>
    <mergeCell ref="C442:E442"/>
    <mergeCell ref="J442:K442"/>
    <mergeCell ref="C443:E443"/>
    <mergeCell ref="F443:K443"/>
    <mergeCell ref="C444:E444"/>
    <mergeCell ref="G444:K444"/>
    <mergeCell ref="C457:E457"/>
    <mergeCell ref="G457:K457"/>
    <mergeCell ref="C458:E458"/>
    <mergeCell ref="H458:K458"/>
    <mergeCell ref="C459:E459"/>
    <mergeCell ref="I459:K459"/>
    <mergeCell ref="C454:E454"/>
    <mergeCell ref="J454:K454"/>
    <mergeCell ref="C455:E455"/>
    <mergeCell ref="I455:K455"/>
    <mergeCell ref="C456:E456"/>
    <mergeCell ref="J456:K456"/>
    <mergeCell ref="C451:E451"/>
    <mergeCell ref="I451:K451"/>
    <mergeCell ref="C452:E452"/>
    <mergeCell ref="J452:K452"/>
    <mergeCell ref="C453:E453"/>
    <mergeCell ref="I453:K453"/>
    <mergeCell ref="C466:E466"/>
    <mergeCell ref="I466:K466"/>
    <mergeCell ref="C467:E467"/>
    <mergeCell ref="J467:K467"/>
    <mergeCell ref="C468:E468"/>
    <mergeCell ref="I468:K468"/>
    <mergeCell ref="C463:E463"/>
    <mergeCell ref="H463:K463"/>
    <mergeCell ref="C464:E464"/>
    <mergeCell ref="I464:K464"/>
    <mergeCell ref="C465:E465"/>
    <mergeCell ref="J465:K465"/>
    <mergeCell ref="C460:E460"/>
    <mergeCell ref="J460:K460"/>
    <mergeCell ref="C461:E461"/>
    <mergeCell ref="I461:K461"/>
    <mergeCell ref="C462:E462"/>
    <mergeCell ref="J462:K462"/>
    <mergeCell ref="C475:E475"/>
    <mergeCell ref="I475:K475"/>
    <mergeCell ref="C476:E476"/>
    <mergeCell ref="J476:K476"/>
    <mergeCell ref="C477:E477"/>
    <mergeCell ref="H477:K477"/>
    <mergeCell ref="C472:E472"/>
    <mergeCell ref="J472:K472"/>
    <mergeCell ref="C473:E473"/>
    <mergeCell ref="G473:K473"/>
    <mergeCell ref="C474:E474"/>
    <mergeCell ref="H474:K474"/>
    <mergeCell ref="C469:E469"/>
    <mergeCell ref="J469:K469"/>
    <mergeCell ref="C470:E470"/>
    <mergeCell ref="I470:K470"/>
    <mergeCell ref="C471:E471"/>
    <mergeCell ref="J471:K471"/>
    <mergeCell ref="C484:E484"/>
    <mergeCell ref="I484:K484"/>
    <mergeCell ref="C485:E485"/>
    <mergeCell ref="J485:K485"/>
    <mergeCell ref="C486:E486"/>
    <mergeCell ref="J486:K486"/>
    <mergeCell ref="C481:E481"/>
    <mergeCell ref="J481:K481"/>
    <mergeCell ref="C482:E482"/>
    <mergeCell ref="I482:K482"/>
    <mergeCell ref="C483:E483"/>
    <mergeCell ref="J483:K483"/>
    <mergeCell ref="C478:E478"/>
    <mergeCell ref="I478:K478"/>
    <mergeCell ref="C479:E479"/>
    <mergeCell ref="J479:K479"/>
    <mergeCell ref="C480:E480"/>
    <mergeCell ref="I480:K480"/>
    <mergeCell ref="C493:E493"/>
    <mergeCell ref="J493:K493"/>
    <mergeCell ref="C494:E494"/>
    <mergeCell ref="I494:K494"/>
    <mergeCell ref="C495:E495"/>
    <mergeCell ref="J495:K495"/>
    <mergeCell ref="C490:E490"/>
    <mergeCell ref="J490:K490"/>
    <mergeCell ref="C491:E491"/>
    <mergeCell ref="H491:K491"/>
    <mergeCell ref="C492:E492"/>
    <mergeCell ref="I492:K492"/>
    <mergeCell ref="C487:E487"/>
    <mergeCell ref="G487:K487"/>
    <mergeCell ref="C488:E488"/>
    <mergeCell ref="H488:K488"/>
    <mergeCell ref="C489:E489"/>
    <mergeCell ref="I489:K489"/>
    <mergeCell ref="C502:E502"/>
    <mergeCell ref="I502:K502"/>
    <mergeCell ref="C503:E503"/>
    <mergeCell ref="J503:K503"/>
    <mergeCell ref="C504:E504"/>
    <mergeCell ref="G504:K504"/>
    <mergeCell ref="C499:E499"/>
    <mergeCell ref="J499:K499"/>
    <mergeCell ref="C500:E500"/>
    <mergeCell ref="I500:K500"/>
    <mergeCell ref="C501:E501"/>
    <mergeCell ref="J501:K501"/>
    <mergeCell ref="C496:E496"/>
    <mergeCell ref="I496:K496"/>
    <mergeCell ref="C497:E497"/>
    <mergeCell ref="J497:K497"/>
    <mergeCell ref="C498:E498"/>
    <mergeCell ref="I498:K498"/>
    <mergeCell ref="C511:E511"/>
    <mergeCell ref="I511:K511"/>
    <mergeCell ref="C512:E512"/>
    <mergeCell ref="J512:K512"/>
    <mergeCell ref="C513:E513"/>
    <mergeCell ref="J513:K513"/>
    <mergeCell ref="C508:E508"/>
    <mergeCell ref="H508:K508"/>
    <mergeCell ref="C509:E509"/>
    <mergeCell ref="I509:K509"/>
    <mergeCell ref="C510:E510"/>
    <mergeCell ref="J510:K510"/>
    <mergeCell ref="C505:E505"/>
    <mergeCell ref="H505:K505"/>
    <mergeCell ref="C506:E506"/>
    <mergeCell ref="I506:K506"/>
    <mergeCell ref="C507:E507"/>
    <mergeCell ref="J507:K507"/>
    <mergeCell ref="C520:E520"/>
    <mergeCell ref="J520:K520"/>
    <mergeCell ref="C521:E521"/>
    <mergeCell ref="J521:K521"/>
    <mergeCell ref="C522:E522"/>
    <mergeCell ref="J522:K522"/>
    <mergeCell ref="C517:E517"/>
    <mergeCell ref="J517:K517"/>
    <mergeCell ref="C518:E518"/>
    <mergeCell ref="I518:K518"/>
    <mergeCell ref="C519:E519"/>
    <mergeCell ref="J519:K519"/>
    <mergeCell ref="C514:E514"/>
    <mergeCell ref="I514:K514"/>
    <mergeCell ref="C515:E515"/>
    <mergeCell ref="J515:K515"/>
    <mergeCell ref="C516:E516"/>
    <mergeCell ref="I516:K516"/>
    <mergeCell ref="C529:E529"/>
    <mergeCell ref="G529:K529"/>
    <mergeCell ref="C530:E530"/>
    <mergeCell ref="H530:K530"/>
    <mergeCell ref="C531:E531"/>
    <mergeCell ref="I531:K531"/>
    <mergeCell ref="C526:E526"/>
    <mergeCell ref="I526:K526"/>
    <mergeCell ref="C527:E527"/>
    <mergeCell ref="J527:K527"/>
    <mergeCell ref="C528:E528"/>
    <mergeCell ref="J528:K528"/>
    <mergeCell ref="C523:E523"/>
    <mergeCell ref="J523:K523"/>
    <mergeCell ref="C524:E524"/>
    <mergeCell ref="I524:K524"/>
    <mergeCell ref="C525:E525"/>
    <mergeCell ref="J525:K525"/>
    <mergeCell ref="C538:E538"/>
    <mergeCell ref="J538:K538"/>
    <mergeCell ref="C539:E539"/>
    <mergeCell ref="I539:K539"/>
    <mergeCell ref="C540:E540"/>
    <mergeCell ref="J540:K540"/>
    <mergeCell ref="C535:E535"/>
    <mergeCell ref="J535:K535"/>
    <mergeCell ref="C536:E536"/>
    <mergeCell ref="I536:K536"/>
    <mergeCell ref="C537:E537"/>
    <mergeCell ref="J537:K537"/>
    <mergeCell ref="C532:E532"/>
    <mergeCell ref="J532:K532"/>
    <mergeCell ref="C533:E533"/>
    <mergeCell ref="H533:K533"/>
    <mergeCell ref="C534:E534"/>
    <mergeCell ref="I534:K534"/>
    <mergeCell ref="C547:E547"/>
    <mergeCell ref="J547:K547"/>
    <mergeCell ref="C548:E548"/>
    <mergeCell ref="F548:K548"/>
    <mergeCell ref="C549:E549"/>
    <mergeCell ref="G549:K549"/>
    <mergeCell ref="C544:E544"/>
    <mergeCell ref="J544:K544"/>
    <mergeCell ref="C545:E545"/>
    <mergeCell ref="J545:K545"/>
    <mergeCell ref="C546:E546"/>
    <mergeCell ref="I546:K546"/>
    <mergeCell ref="C541:E541"/>
    <mergeCell ref="I541:K541"/>
    <mergeCell ref="C542:E542"/>
    <mergeCell ref="J542:K542"/>
    <mergeCell ref="C543:E543"/>
    <mergeCell ref="I543:K543"/>
    <mergeCell ref="C556:E556"/>
    <mergeCell ref="J556:K556"/>
    <mergeCell ref="C557:E557"/>
    <mergeCell ref="I557:K557"/>
    <mergeCell ref="C558:E558"/>
    <mergeCell ref="J558:K558"/>
    <mergeCell ref="C553:E553"/>
    <mergeCell ref="J553:K553"/>
    <mergeCell ref="C554:E554"/>
    <mergeCell ref="H554:K554"/>
    <mergeCell ref="C555:E555"/>
    <mergeCell ref="I555:K555"/>
    <mergeCell ref="C550:E550"/>
    <mergeCell ref="H550:K550"/>
    <mergeCell ref="C551:E551"/>
    <mergeCell ref="I551:K551"/>
    <mergeCell ref="C552:E552"/>
    <mergeCell ref="J552:K552"/>
    <mergeCell ref="C565:E565"/>
    <mergeCell ref="I565:K565"/>
    <mergeCell ref="C566:E566"/>
    <mergeCell ref="J566:K566"/>
    <mergeCell ref="C567:E567"/>
    <mergeCell ref="I567:K567"/>
    <mergeCell ref="C562:E562"/>
    <mergeCell ref="I562:K562"/>
    <mergeCell ref="C563:E563"/>
    <mergeCell ref="J563:K563"/>
    <mergeCell ref="C564:E564"/>
    <mergeCell ref="J564:K564"/>
    <mergeCell ref="C559:E559"/>
    <mergeCell ref="J559:K559"/>
    <mergeCell ref="C560:E560"/>
    <mergeCell ref="J560:K560"/>
    <mergeCell ref="C561:E561"/>
    <mergeCell ref="J561:K561"/>
    <mergeCell ref="C574:E574"/>
    <mergeCell ref="J574:K574"/>
    <mergeCell ref="C575:E575"/>
    <mergeCell ref="J575:K575"/>
    <mergeCell ref="C576:E576"/>
    <mergeCell ref="I576:K576"/>
    <mergeCell ref="C571:E571"/>
    <mergeCell ref="I571:K571"/>
    <mergeCell ref="C572:E572"/>
    <mergeCell ref="J572:K572"/>
    <mergeCell ref="C573:E573"/>
    <mergeCell ref="I573:K573"/>
    <mergeCell ref="C568:E568"/>
    <mergeCell ref="J568:K568"/>
    <mergeCell ref="C569:E569"/>
    <mergeCell ref="I569:K569"/>
    <mergeCell ref="C570:E570"/>
    <mergeCell ref="J570:K570"/>
    <mergeCell ref="C583:E583"/>
    <mergeCell ref="H583:K583"/>
    <mergeCell ref="C584:E584"/>
    <mergeCell ref="I584:K584"/>
    <mergeCell ref="C585:E585"/>
    <mergeCell ref="J585:K585"/>
    <mergeCell ref="C580:E580"/>
    <mergeCell ref="I580:K580"/>
    <mergeCell ref="C581:E581"/>
    <mergeCell ref="J581:K581"/>
    <mergeCell ref="C582:E582"/>
    <mergeCell ref="J582:K582"/>
    <mergeCell ref="C577:E577"/>
    <mergeCell ref="J577:K577"/>
    <mergeCell ref="C578:E578"/>
    <mergeCell ref="G578:K578"/>
    <mergeCell ref="C579:E579"/>
    <mergeCell ref="H579:K579"/>
    <mergeCell ref="C592:E592"/>
    <mergeCell ref="J592:K592"/>
    <mergeCell ref="C593:E593"/>
    <mergeCell ref="J593:K593"/>
    <mergeCell ref="C594:E594"/>
    <mergeCell ref="I594:K594"/>
    <mergeCell ref="C589:E589"/>
    <mergeCell ref="J589:K589"/>
    <mergeCell ref="C590:E590"/>
    <mergeCell ref="I590:K590"/>
    <mergeCell ref="C591:E591"/>
    <mergeCell ref="J591:K591"/>
    <mergeCell ref="C586:E586"/>
    <mergeCell ref="I586:K586"/>
    <mergeCell ref="C587:E587"/>
    <mergeCell ref="J587:K587"/>
    <mergeCell ref="C588:E588"/>
    <mergeCell ref="J588:K588"/>
    <mergeCell ref="C601:E601"/>
    <mergeCell ref="J601:K601"/>
    <mergeCell ref="C602:E602"/>
    <mergeCell ref="J602:K602"/>
    <mergeCell ref="C603:E603"/>
    <mergeCell ref="I603:K603"/>
    <mergeCell ref="C598:E598"/>
    <mergeCell ref="I598:K598"/>
    <mergeCell ref="C599:E599"/>
    <mergeCell ref="J599:K599"/>
    <mergeCell ref="C600:E600"/>
    <mergeCell ref="I600:K600"/>
    <mergeCell ref="C595:E595"/>
    <mergeCell ref="J595:K595"/>
    <mergeCell ref="C596:E596"/>
    <mergeCell ref="I596:K596"/>
    <mergeCell ref="C597:E597"/>
    <mergeCell ref="J597:K597"/>
    <mergeCell ref="C610:E610"/>
    <mergeCell ref="J610:K610"/>
    <mergeCell ref="C611:E611"/>
    <mergeCell ref="J611:K611"/>
    <mergeCell ref="C612:E612"/>
    <mergeCell ref="H612:K612"/>
    <mergeCell ref="C607:E607"/>
    <mergeCell ref="G607:K607"/>
    <mergeCell ref="C608:E608"/>
    <mergeCell ref="H608:K608"/>
    <mergeCell ref="C609:E609"/>
    <mergeCell ref="I609:K609"/>
    <mergeCell ref="C604:E604"/>
    <mergeCell ref="J604:K604"/>
    <mergeCell ref="C605:E605"/>
    <mergeCell ref="I605:K605"/>
    <mergeCell ref="C606:E606"/>
    <mergeCell ref="J606:K606"/>
    <mergeCell ref="C619:E619"/>
    <mergeCell ref="J619:K619"/>
    <mergeCell ref="C620:E620"/>
    <mergeCell ref="J620:K620"/>
    <mergeCell ref="C621:E621"/>
    <mergeCell ref="J621:K621"/>
    <mergeCell ref="C616:E616"/>
    <mergeCell ref="J616:K616"/>
    <mergeCell ref="C617:E617"/>
    <mergeCell ref="J617:K617"/>
    <mergeCell ref="C618:E618"/>
    <mergeCell ref="I618:K618"/>
    <mergeCell ref="C613:E613"/>
    <mergeCell ref="I613:K613"/>
    <mergeCell ref="C614:E614"/>
    <mergeCell ref="J614:K614"/>
    <mergeCell ref="C615:E615"/>
    <mergeCell ref="I615:K615"/>
    <mergeCell ref="C628:E628"/>
    <mergeCell ref="I628:K628"/>
    <mergeCell ref="C629:E629"/>
    <mergeCell ref="J629:K629"/>
    <mergeCell ref="C630:E630"/>
    <mergeCell ref="I630:K630"/>
    <mergeCell ref="C625:E625"/>
    <mergeCell ref="J625:K625"/>
    <mergeCell ref="C626:E626"/>
    <mergeCell ref="I626:K626"/>
    <mergeCell ref="C627:E627"/>
    <mergeCell ref="J627:K627"/>
    <mergeCell ref="C622:E622"/>
    <mergeCell ref="I622:K622"/>
    <mergeCell ref="C623:E623"/>
    <mergeCell ref="J623:K623"/>
    <mergeCell ref="C624:E624"/>
    <mergeCell ref="I624:K624"/>
    <mergeCell ref="C637:E637"/>
    <mergeCell ref="H637:K637"/>
    <mergeCell ref="C638:E638"/>
    <mergeCell ref="J638:K638"/>
    <mergeCell ref="C639:E639"/>
    <mergeCell ref="H639:K639"/>
    <mergeCell ref="C634:E634"/>
    <mergeCell ref="J634:K634"/>
    <mergeCell ref="C635:E635"/>
    <mergeCell ref="F635:K635"/>
    <mergeCell ref="C636:E636"/>
    <mergeCell ref="H636:K636"/>
    <mergeCell ref="C631:E631"/>
    <mergeCell ref="J631:K631"/>
    <mergeCell ref="C632:E632"/>
    <mergeCell ref="J632:K632"/>
    <mergeCell ref="C633:E633"/>
    <mergeCell ref="I633:K633"/>
    <mergeCell ref="C646:E646"/>
    <mergeCell ref="I646:K646"/>
    <mergeCell ref="C647:E647"/>
    <mergeCell ref="J647:K647"/>
    <mergeCell ref="C648:E648"/>
    <mergeCell ref="I648:K648"/>
    <mergeCell ref="C643:E643"/>
    <mergeCell ref="J643:K643"/>
    <mergeCell ref="C644:E644"/>
    <mergeCell ref="J644:K644"/>
    <mergeCell ref="C645:E645"/>
    <mergeCell ref="J645:K645"/>
    <mergeCell ref="C640:E640"/>
    <mergeCell ref="I640:K640"/>
    <mergeCell ref="C641:E641"/>
    <mergeCell ref="I641:K641"/>
    <mergeCell ref="C642:E642"/>
    <mergeCell ref="I642:K642"/>
    <mergeCell ref="C655:E655"/>
    <mergeCell ref="I655:K655"/>
    <mergeCell ref="C656:E656"/>
    <mergeCell ref="J656:K656"/>
    <mergeCell ref="C657:E657"/>
    <mergeCell ref="I657:K657"/>
    <mergeCell ref="C652:E652"/>
    <mergeCell ref="J652:K652"/>
    <mergeCell ref="C653:E653"/>
    <mergeCell ref="G653:K653"/>
    <mergeCell ref="C654:E654"/>
    <mergeCell ref="H654:K654"/>
    <mergeCell ref="C649:E649"/>
    <mergeCell ref="J649:K649"/>
    <mergeCell ref="C650:E650"/>
    <mergeCell ref="J650:K650"/>
    <mergeCell ref="C651:E651"/>
    <mergeCell ref="I651:K651"/>
    <mergeCell ref="C664:E664"/>
    <mergeCell ref="J664:K664"/>
    <mergeCell ref="C665:E665"/>
    <mergeCell ref="J665:K665"/>
    <mergeCell ref="C666:E666"/>
    <mergeCell ref="I666:K666"/>
    <mergeCell ref="C661:E661"/>
    <mergeCell ref="I661:K661"/>
    <mergeCell ref="C662:E662"/>
    <mergeCell ref="J662:K662"/>
    <mergeCell ref="C663:E663"/>
    <mergeCell ref="I663:K663"/>
    <mergeCell ref="C658:E658"/>
    <mergeCell ref="J658:K658"/>
    <mergeCell ref="C659:E659"/>
    <mergeCell ref="J659:K659"/>
    <mergeCell ref="C660:E660"/>
    <mergeCell ref="H660:K660"/>
    <mergeCell ref="F677:K677"/>
    <mergeCell ref="C673:E673"/>
    <mergeCell ref="J673:K673"/>
    <mergeCell ref="C674:E674"/>
    <mergeCell ref="I674:K674"/>
    <mergeCell ref="C675:E675"/>
    <mergeCell ref="J675:K675"/>
    <mergeCell ref="C670:E670"/>
    <mergeCell ref="J670:K670"/>
    <mergeCell ref="C671:E671"/>
    <mergeCell ref="I671:K671"/>
    <mergeCell ref="C672:E672"/>
    <mergeCell ref="J672:K672"/>
    <mergeCell ref="C667:E667"/>
    <mergeCell ref="J667:K667"/>
    <mergeCell ref="C668:E668"/>
    <mergeCell ref="J668:K668"/>
    <mergeCell ref="C669:E669"/>
    <mergeCell ref="I669:K669"/>
  </mergeCells>
  <pageMargins left="0.16597222222222199" right="0.16597222222222199" top="0.16597222222222199" bottom="0.16597222222222199" header="0" footer="0"/>
  <pageSetup paperSize="258" scale="70" fitToWidth="0" fitToHeight="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BD678"/>
  <sheetViews>
    <sheetView showGridLines="0" showOutlineSymbols="0" topLeftCell="A329" zoomScaleSheetLayoutView="85" workbookViewId="0">
      <selection activeCell="AB688" sqref="AB688"/>
    </sheetView>
  </sheetViews>
  <sheetFormatPr defaultColWidth="6.85546875" defaultRowHeight="12.75" customHeight="1"/>
  <cols>
    <col min="1" max="1" width="7.85546875" style="29" customWidth="1"/>
    <col min="2" max="2" width="1.140625" style="29" hidden="1" customWidth="1"/>
    <col min="3" max="3" width="7.42578125" style="29" customWidth="1"/>
    <col min="4" max="4" width="1.42578125" style="29" customWidth="1"/>
    <col min="5" max="5" width="3.5703125" style="29" customWidth="1"/>
    <col min="6" max="6" width="1.140625" style="29" hidden="1" customWidth="1"/>
    <col min="7" max="7" width="1.7109375" style="29" hidden="1" customWidth="1"/>
    <col min="8" max="9" width="1.7109375" style="29" customWidth="1"/>
    <col min="10" max="10" width="6.85546875" style="29" customWidth="1"/>
    <col min="11" max="11" width="24.85546875" style="29" customWidth="1"/>
    <col min="12" max="12" width="18.85546875" style="29" hidden="1" customWidth="1"/>
    <col min="13" max="13" width="12.5703125" style="29" hidden="1" customWidth="1"/>
    <col min="14" max="14" width="13.42578125" style="29" hidden="1" customWidth="1"/>
    <col min="15" max="15" width="16" style="29" hidden="1" customWidth="1"/>
    <col min="16" max="16" width="12.140625" style="29" hidden="1" customWidth="1"/>
    <col min="17" max="17" width="14" style="29" hidden="1" customWidth="1"/>
    <col min="18" max="18" width="9.5703125" style="29" hidden="1" customWidth="1"/>
    <col min="19" max="19" width="11.5703125" style="29" hidden="1" customWidth="1"/>
    <col min="20" max="20" width="12.28515625" style="29" hidden="1" customWidth="1"/>
    <col min="21" max="21" width="19.140625" style="29" hidden="1" customWidth="1"/>
    <col min="22" max="22" width="19.7109375" style="29" hidden="1" customWidth="1"/>
    <col min="23" max="23" width="15.85546875" style="29" hidden="1" customWidth="1"/>
    <col min="24" max="24" width="14.5703125" style="29" hidden="1" customWidth="1"/>
    <col min="25" max="27" width="15.140625" style="29" hidden="1" customWidth="1"/>
    <col min="28" max="28" width="18.85546875" style="29" bestFit="1" customWidth="1"/>
    <col min="29" max="29" width="18.85546875" style="29" hidden="1" customWidth="1"/>
    <col min="30" max="35" width="15.140625" style="29" hidden="1" customWidth="1"/>
    <col min="36" max="37" width="17" style="29" hidden="1" customWidth="1"/>
    <col min="38" max="39" width="13.5703125" style="29" hidden="1" customWidth="1"/>
    <col min="40" max="40" width="14.7109375" style="29" hidden="1" customWidth="1"/>
    <col min="41" max="41" width="13.5703125" style="29" hidden="1" customWidth="1"/>
    <col min="42" max="42" width="14" style="29" hidden="1" customWidth="1"/>
    <col min="43" max="44" width="13.5703125" style="29" customWidth="1"/>
    <col min="45" max="45" width="13.28515625" style="29" customWidth="1"/>
    <col min="46" max="47" width="14.85546875" style="29" hidden="1" customWidth="1"/>
    <col min="48" max="48" width="12.140625" style="29" hidden="1" customWidth="1"/>
    <col min="49" max="49" width="10.5703125" style="29" hidden="1" customWidth="1"/>
    <col min="50" max="50" width="12.140625" style="29" hidden="1" customWidth="1"/>
    <col min="51" max="51" width="9" style="29" customWidth="1"/>
    <col min="52" max="52" width="17.7109375" style="29" hidden="1" customWidth="1"/>
    <col min="53" max="53" width="15" style="29" hidden="1" customWidth="1"/>
    <col min="54" max="54" width="17.28515625" style="29" hidden="1" customWidth="1"/>
    <col min="55" max="55" width="0" style="29" hidden="1" customWidth="1"/>
    <col min="56" max="256" width="6.85546875" style="29"/>
    <col min="257" max="257" width="7.85546875" style="29" customWidth="1"/>
    <col min="258" max="258" width="0" style="29" hidden="1" customWidth="1"/>
    <col min="259" max="259" width="7.42578125" style="29" customWidth="1"/>
    <col min="260" max="260" width="1.42578125" style="29" customWidth="1"/>
    <col min="261" max="261" width="3.5703125" style="29" customWidth="1"/>
    <col min="262" max="263" width="0" style="29" hidden="1" customWidth="1"/>
    <col min="264" max="265" width="1.7109375" style="29" customWidth="1"/>
    <col min="266" max="266" width="6.85546875" style="29" customWidth="1"/>
    <col min="267" max="267" width="24.85546875" style="29" customWidth="1"/>
    <col min="268" max="268" width="18.85546875" style="29" bestFit="1" customWidth="1"/>
    <col min="269" max="283" width="0" style="29" hidden="1" customWidth="1"/>
    <col min="284" max="285" width="18.85546875" style="29" bestFit="1" customWidth="1"/>
    <col min="286" max="292" width="0" style="29" hidden="1" customWidth="1"/>
    <col min="293" max="293" width="17" style="29" customWidth="1"/>
    <col min="294" max="295" width="13.5703125" style="29" customWidth="1"/>
    <col min="296" max="296" width="14.7109375" style="29" customWidth="1"/>
    <col min="297" max="297" width="13.5703125" style="29" customWidth="1"/>
    <col min="298" max="298" width="14" style="29" customWidth="1"/>
    <col min="299" max="300" width="13.5703125" style="29" customWidth="1"/>
    <col min="301" max="301" width="13.28515625" style="29" customWidth="1"/>
    <col min="302" max="306" width="0" style="29" hidden="1" customWidth="1"/>
    <col min="307" max="307" width="9" style="29" customWidth="1"/>
    <col min="308" max="308" width="17.7109375" style="29" customWidth="1"/>
    <col min="309" max="309" width="15" style="29" customWidth="1"/>
    <col min="310" max="310" width="17.28515625" style="29" customWidth="1"/>
    <col min="311" max="512" width="6.85546875" style="29"/>
    <col min="513" max="513" width="7.85546875" style="29" customWidth="1"/>
    <col min="514" max="514" width="0" style="29" hidden="1" customWidth="1"/>
    <col min="515" max="515" width="7.42578125" style="29" customWidth="1"/>
    <col min="516" max="516" width="1.42578125" style="29" customWidth="1"/>
    <col min="517" max="517" width="3.5703125" style="29" customWidth="1"/>
    <col min="518" max="519" width="0" style="29" hidden="1" customWidth="1"/>
    <col min="520" max="521" width="1.7109375" style="29" customWidth="1"/>
    <col min="522" max="522" width="6.85546875" style="29" customWidth="1"/>
    <col min="523" max="523" width="24.85546875" style="29" customWidth="1"/>
    <col min="524" max="524" width="18.85546875" style="29" bestFit="1" customWidth="1"/>
    <col min="525" max="539" width="0" style="29" hidden="1" customWidth="1"/>
    <col min="540" max="541" width="18.85546875" style="29" bestFit="1" customWidth="1"/>
    <col min="542" max="548" width="0" style="29" hidden="1" customWidth="1"/>
    <col min="549" max="549" width="17" style="29" customWidth="1"/>
    <col min="550" max="551" width="13.5703125" style="29" customWidth="1"/>
    <col min="552" max="552" width="14.7109375" style="29" customWidth="1"/>
    <col min="553" max="553" width="13.5703125" style="29" customWidth="1"/>
    <col min="554" max="554" width="14" style="29" customWidth="1"/>
    <col min="555" max="556" width="13.5703125" style="29" customWidth="1"/>
    <col min="557" max="557" width="13.28515625" style="29" customWidth="1"/>
    <col min="558" max="562" width="0" style="29" hidden="1" customWidth="1"/>
    <col min="563" max="563" width="9" style="29" customWidth="1"/>
    <col min="564" max="564" width="17.7109375" style="29" customWidth="1"/>
    <col min="565" max="565" width="15" style="29" customWidth="1"/>
    <col min="566" max="566" width="17.28515625" style="29" customWidth="1"/>
    <col min="567" max="768" width="6.85546875" style="29"/>
    <col min="769" max="769" width="7.85546875" style="29" customWidth="1"/>
    <col min="770" max="770" width="0" style="29" hidden="1" customWidth="1"/>
    <col min="771" max="771" width="7.42578125" style="29" customWidth="1"/>
    <col min="772" max="772" width="1.42578125" style="29" customWidth="1"/>
    <col min="773" max="773" width="3.5703125" style="29" customWidth="1"/>
    <col min="774" max="775" width="0" style="29" hidden="1" customWidth="1"/>
    <col min="776" max="777" width="1.7109375" style="29" customWidth="1"/>
    <col min="778" max="778" width="6.85546875" style="29" customWidth="1"/>
    <col min="779" max="779" width="24.85546875" style="29" customWidth="1"/>
    <col min="780" max="780" width="18.85546875" style="29" bestFit="1" customWidth="1"/>
    <col min="781" max="795" width="0" style="29" hidden="1" customWidth="1"/>
    <col min="796" max="797" width="18.85546875" style="29" bestFit="1" customWidth="1"/>
    <col min="798" max="804" width="0" style="29" hidden="1" customWidth="1"/>
    <col min="805" max="805" width="17" style="29" customWidth="1"/>
    <col min="806" max="807" width="13.5703125" style="29" customWidth="1"/>
    <col min="808" max="808" width="14.7109375" style="29" customWidth="1"/>
    <col min="809" max="809" width="13.5703125" style="29" customWidth="1"/>
    <col min="810" max="810" width="14" style="29" customWidth="1"/>
    <col min="811" max="812" width="13.5703125" style="29" customWidth="1"/>
    <col min="813" max="813" width="13.28515625" style="29" customWidth="1"/>
    <col min="814" max="818" width="0" style="29" hidden="1" customWidth="1"/>
    <col min="819" max="819" width="9" style="29" customWidth="1"/>
    <col min="820" max="820" width="17.7109375" style="29" customWidth="1"/>
    <col min="821" max="821" width="15" style="29" customWidth="1"/>
    <col min="822" max="822" width="17.28515625" style="29" customWidth="1"/>
    <col min="823" max="1024" width="6.85546875" style="29"/>
    <col min="1025" max="1025" width="7.85546875" style="29" customWidth="1"/>
    <col min="1026" max="1026" width="0" style="29" hidden="1" customWidth="1"/>
    <col min="1027" max="1027" width="7.42578125" style="29" customWidth="1"/>
    <col min="1028" max="1028" width="1.42578125" style="29" customWidth="1"/>
    <col min="1029" max="1029" width="3.5703125" style="29" customWidth="1"/>
    <col min="1030" max="1031" width="0" style="29" hidden="1" customWidth="1"/>
    <col min="1032" max="1033" width="1.7109375" style="29" customWidth="1"/>
    <col min="1034" max="1034" width="6.85546875" style="29" customWidth="1"/>
    <col min="1035" max="1035" width="24.85546875" style="29" customWidth="1"/>
    <col min="1036" max="1036" width="18.85546875" style="29" bestFit="1" customWidth="1"/>
    <col min="1037" max="1051" width="0" style="29" hidden="1" customWidth="1"/>
    <col min="1052" max="1053" width="18.85546875" style="29" bestFit="1" customWidth="1"/>
    <col min="1054" max="1060" width="0" style="29" hidden="1" customWidth="1"/>
    <col min="1061" max="1061" width="17" style="29" customWidth="1"/>
    <col min="1062" max="1063" width="13.5703125" style="29" customWidth="1"/>
    <col min="1064" max="1064" width="14.7109375" style="29" customWidth="1"/>
    <col min="1065" max="1065" width="13.5703125" style="29" customWidth="1"/>
    <col min="1066" max="1066" width="14" style="29" customWidth="1"/>
    <col min="1067" max="1068" width="13.5703125" style="29" customWidth="1"/>
    <col min="1069" max="1069" width="13.28515625" style="29" customWidth="1"/>
    <col min="1070" max="1074" width="0" style="29" hidden="1" customWidth="1"/>
    <col min="1075" max="1075" width="9" style="29" customWidth="1"/>
    <col min="1076" max="1076" width="17.7109375" style="29" customWidth="1"/>
    <col min="1077" max="1077" width="15" style="29" customWidth="1"/>
    <col min="1078" max="1078" width="17.28515625" style="29" customWidth="1"/>
    <col min="1079" max="1280" width="6.85546875" style="29"/>
    <col min="1281" max="1281" width="7.85546875" style="29" customWidth="1"/>
    <col min="1282" max="1282" width="0" style="29" hidden="1" customWidth="1"/>
    <col min="1283" max="1283" width="7.42578125" style="29" customWidth="1"/>
    <col min="1284" max="1284" width="1.42578125" style="29" customWidth="1"/>
    <col min="1285" max="1285" width="3.5703125" style="29" customWidth="1"/>
    <col min="1286" max="1287" width="0" style="29" hidden="1" customWidth="1"/>
    <col min="1288" max="1289" width="1.7109375" style="29" customWidth="1"/>
    <col min="1290" max="1290" width="6.85546875" style="29" customWidth="1"/>
    <col min="1291" max="1291" width="24.85546875" style="29" customWidth="1"/>
    <col min="1292" max="1292" width="18.85546875" style="29" bestFit="1" customWidth="1"/>
    <col min="1293" max="1307" width="0" style="29" hidden="1" customWidth="1"/>
    <col min="1308" max="1309" width="18.85546875" style="29" bestFit="1" customWidth="1"/>
    <col min="1310" max="1316" width="0" style="29" hidden="1" customWidth="1"/>
    <col min="1317" max="1317" width="17" style="29" customWidth="1"/>
    <col min="1318" max="1319" width="13.5703125" style="29" customWidth="1"/>
    <col min="1320" max="1320" width="14.7109375" style="29" customWidth="1"/>
    <col min="1321" max="1321" width="13.5703125" style="29" customWidth="1"/>
    <col min="1322" max="1322" width="14" style="29" customWidth="1"/>
    <col min="1323" max="1324" width="13.5703125" style="29" customWidth="1"/>
    <col min="1325" max="1325" width="13.28515625" style="29" customWidth="1"/>
    <col min="1326" max="1330" width="0" style="29" hidden="1" customWidth="1"/>
    <col min="1331" max="1331" width="9" style="29" customWidth="1"/>
    <col min="1332" max="1332" width="17.7109375" style="29" customWidth="1"/>
    <col min="1333" max="1333" width="15" style="29" customWidth="1"/>
    <col min="1334" max="1334" width="17.28515625" style="29" customWidth="1"/>
    <col min="1335" max="1536" width="6.85546875" style="29"/>
    <col min="1537" max="1537" width="7.85546875" style="29" customWidth="1"/>
    <col min="1538" max="1538" width="0" style="29" hidden="1" customWidth="1"/>
    <col min="1539" max="1539" width="7.42578125" style="29" customWidth="1"/>
    <col min="1540" max="1540" width="1.42578125" style="29" customWidth="1"/>
    <col min="1541" max="1541" width="3.5703125" style="29" customWidth="1"/>
    <col min="1542" max="1543" width="0" style="29" hidden="1" customWidth="1"/>
    <col min="1544" max="1545" width="1.7109375" style="29" customWidth="1"/>
    <col min="1546" max="1546" width="6.85546875" style="29" customWidth="1"/>
    <col min="1547" max="1547" width="24.85546875" style="29" customWidth="1"/>
    <col min="1548" max="1548" width="18.85546875" style="29" bestFit="1" customWidth="1"/>
    <col min="1549" max="1563" width="0" style="29" hidden="1" customWidth="1"/>
    <col min="1564" max="1565" width="18.85546875" style="29" bestFit="1" customWidth="1"/>
    <col min="1566" max="1572" width="0" style="29" hidden="1" customWidth="1"/>
    <col min="1573" max="1573" width="17" style="29" customWidth="1"/>
    <col min="1574" max="1575" width="13.5703125" style="29" customWidth="1"/>
    <col min="1576" max="1576" width="14.7109375" style="29" customWidth="1"/>
    <col min="1577" max="1577" width="13.5703125" style="29" customWidth="1"/>
    <col min="1578" max="1578" width="14" style="29" customWidth="1"/>
    <col min="1579" max="1580" width="13.5703125" style="29" customWidth="1"/>
    <col min="1581" max="1581" width="13.28515625" style="29" customWidth="1"/>
    <col min="1582" max="1586" width="0" style="29" hidden="1" customWidth="1"/>
    <col min="1587" max="1587" width="9" style="29" customWidth="1"/>
    <col min="1588" max="1588" width="17.7109375" style="29" customWidth="1"/>
    <col min="1589" max="1589" width="15" style="29" customWidth="1"/>
    <col min="1590" max="1590" width="17.28515625" style="29" customWidth="1"/>
    <col min="1591" max="1792" width="6.85546875" style="29"/>
    <col min="1793" max="1793" width="7.85546875" style="29" customWidth="1"/>
    <col min="1794" max="1794" width="0" style="29" hidden="1" customWidth="1"/>
    <col min="1795" max="1795" width="7.42578125" style="29" customWidth="1"/>
    <col min="1796" max="1796" width="1.42578125" style="29" customWidth="1"/>
    <col min="1797" max="1797" width="3.5703125" style="29" customWidth="1"/>
    <col min="1798" max="1799" width="0" style="29" hidden="1" customWidth="1"/>
    <col min="1800" max="1801" width="1.7109375" style="29" customWidth="1"/>
    <col min="1802" max="1802" width="6.85546875" style="29" customWidth="1"/>
    <col min="1803" max="1803" width="24.85546875" style="29" customWidth="1"/>
    <col min="1804" max="1804" width="18.85546875" style="29" bestFit="1" customWidth="1"/>
    <col min="1805" max="1819" width="0" style="29" hidden="1" customWidth="1"/>
    <col min="1820" max="1821" width="18.85546875" style="29" bestFit="1" customWidth="1"/>
    <col min="1822" max="1828" width="0" style="29" hidden="1" customWidth="1"/>
    <col min="1829" max="1829" width="17" style="29" customWidth="1"/>
    <col min="1830" max="1831" width="13.5703125" style="29" customWidth="1"/>
    <col min="1832" max="1832" width="14.7109375" style="29" customWidth="1"/>
    <col min="1833" max="1833" width="13.5703125" style="29" customWidth="1"/>
    <col min="1834" max="1834" width="14" style="29" customWidth="1"/>
    <col min="1835" max="1836" width="13.5703125" style="29" customWidth="1"/>
    <col min="1837" max="1837" width="13.28515625" style="29" customWidth="1"/>
    <col min="1838" max="1842" width="0" style="29" hidden="1" customWidth="1"/>
    <col min="1843" max="1843" width="9" style="29" customWidth="1"/>
    <col min="1844" max="1844" width="17.7109375" style="29" customWidth="1"/>
    <col min="1845" max="1845" width="15" style="29" customWidth="1"/>
    <col min="1846" max="1846" width="17.28515625" style="29" customWidth="1"/>
    <col min="1847" max="2048" width="6.85546875" style="29"/>
    <col min="2049" max="2049" width="7.85546875" style="29" customWidth="1"/>
    <col min="2050" max="2050" width="0" style="29" hidden="1" customWidth="1"/>
    <col min="2051" max="2051" width="7.42578125" style="29" customWidth="1"/>
    <col min="2052" max="2052" width="1.42578125" style="29" customWidth="1"/>
    <col min="2053" max="2053" width="3.5703125" style="29" customWidth="1"/>
    <col min="2054" max="2055" width="0" style="29" hidden="1" customWidth="1"/>
    <col min="2056" max="2057" width="1.7109375" style="29" customWidth="1"/>
    <col min="2058" max="2058" width="6.85546875" style="29" customWidth="1"/>
    <col min="2059" max="2059" width="24.85546875" style="29" customWidth="1"/>
    <col min="2060" max="2060" width="18.85546875" style="29" bestFit="1" customWidth="1"/>
    <col min="2061" max="2075" width="0" style="29" hidden="1" customWidth="1"/>
    <col min="2076" max="2077" width="18.85546875" style="29" bestFit="1" customWidth="1"/>
    <col min="2078" max="2084" width="0" style="29" hidden="1" customWidth="1"/>
    <col min="2085" max="2085" width="17" style="29" customWidth="1"/>
    <col min="2086" max="2087" width="13.5703125" style="29" customWidth="1"/>
    <col min="2088" max="2088" width="14.7109375" style="29" customWidth="1"/>
    <col min="2089" max="2089" width="13.5703125" style="29" customWidth="1"/>
    <col min="2090" max="2090" width="14" style="29" customWidth="1"/>
    <col min="2091" max="2092" width="13.5703125" style="29" customWidth="1"/>
    <col min="2093" max="2093" width="13.28515625" style="29" customWidth="1"/>
    <col min="2094" max="2098" width="0" style="29" hidden="1" customWidth="1"/>
    <col min="2099" max="2099" width="9" style="29" customWidth="1"/>
    <col min="2100" max="2100" width="17.7109375" style="29" customWidth="1"/>
    <col min="2101" max="2101" width="15" style="29" customWidth="1"/>
    <col min="2102" max="2102" width="17.28515625" style="29" customWidth="1"/>
    <col min="2103" max="2304" width="6.85546875" style="29"/>
    <col min="2305" max="2305" width="7.85546875" style="29" customWidth="1"/>
    <col min="2306" max="2306" width="0" style="29" hidden="1" customWidth="1"/>
    <col min="2307" max="2307" width="7.42578125" style="29" customWidth="1"/>
    <col min="2308" max="2308" width="1.42578125" style="29" customWidth="1"/>
    <col min="2309" max="2309" width="3.5703125" style="29" customWidth="1"/>
    <col min="2310" max="2311" width="0" style="29" hidden="1" customWidth="1"/>
    <col min="2312" max="2313" width="1.7109375" style="29" customWidth="1"/>
    <col min="2314" max="2314" width="6.85546875" style="29" customWidth="1"/>
    <col min="2315" max="2315" width="24.85546875" style="29" customWidth="1"/>
    <col min="2316" max="2316" width="18.85546875" style="29" bestFit="1" customWidth="1"/>
    <col min="2317" max="2331" width="0" style="29" hidden="1" customWidth="1"/>
    <col min="2332" max="2333" width="18.85546875" style="29" bestFit="1" customWidth="1"/>
    <col min="2334" max="2340" width="0" style="29" hidden="1" customWidth="1"/>
    <col min="2341" max="2341" width="17" style="29" customWidth="1"/>
    <col min="2342" max="2343" width="13.5703125" style="29" customWidth="1"/>
    <col min="2344" max="2344" width="14.7109375" style="29" customWidth="1"/>
    <col min="2345" max="2345" width="13.5703125" style="29" customWidth="1"/>
    <col min="2346" max="2346" width="14" style="29" customWidth="1"/>
    <col min="2347" max="2348" width="13.5703125" style="29" customWidth="1"/>
    <col min="2349" max="2349" width="13.28515625" style="29" customWidth="1"/>
    <col min="2350" max="2354" width="0" style="29" hidden="1" customWidth="1"/>
    <col min="2355" max="2355" width="9" style="29" customWidth="1"/>
    <col min="2356" max="2356" width="17.7109375" style="29" customWidth="1"/>
    <col min="2357" max="2357" width="15" style="29" customWidth="1"/>
    <col min="2358" max="2358" width="17.28515625" style="29" customWidth="1"/>
    <col min="2359" max="2560" width="6.85546875" style="29"/>
    <col min="2561" max="2561" width="7.85546875" style="29" customWidth="1"/>
    <col min="2562" max="2562" width="0" style="29" hidden="1" customWidth="1"/>
    <col min="2563" max="2563" width="7.42578125" style="29" customWidth="1"/>
    <col min="2564" max="2564" width="1.42578125" style="29" customWidth="1"/>
    <col min="2565" max="2565" width="3.5703125" style="29" customWidth="1"/>
    <col min="2566" max="2567" width="0" style="29" hidden="1" customWidth="1"/>
    <col min="2568" max="2569" width="1.7109375" style="29" customWidth="1"/>
    <col min="2570" max="2570" width="6.85546875" style="29" customWidth="1"/>
    <col min="2571" max="2571" width="24.85546875" style="29" customWidth="1"/>
    <col min="2572" max="2572" width="18.85546875" style="29" bestFit="1" customWidth="1"/>
    <col min="2573" max="2587" width="0" style="29" hidden="1" customWidth="1"/>
    <col min="2588" max="2589" width="18.85546875" style="29" bestFit="1" customWidth="1"/>
    <col min="2590" max="2596" width="0" style="29" hidden="1" customWidth="1"/>
    <col min="2597" max="2597" width="17" style="29" customWidth="1"/>
    <col min="2598" max="2599" width="13.5703125" style="29" customWidth="1"/>
    <col min="2600" max="2600" width="14.7109375" style="29" customWidth="1"/>
    <col min="2601" max="2601" width="13.5703125" style="29" customWidth="1"/>
    <col min="2602" max="2602" width="14" style="29" customWidth="1"/>
    <col min="2603" max="2604" width="13.5703125" style="29" customWidth="1"/>
    <col min="2605" max="2605" width="13.28515625" style="29" customWidth="1"/>
    <col min="2606" max="2610" width="0" style="29" hidden="1" customWidth="1"/>
    <col min="2611" max="2611" width="9" style="29" customWidth="1"/>
    <col min="2612" max="2612" width="17.7109375" style="29" customWidth="1"/>
    <col min="2613" max="2613" width="15" style="29" customWidth="1"/>
    <col min="2614" max="2614" width="17.28515625" style="29" customWidth="1"/>
    <col min="2615" max="2816" width="6.85546875" style="29"/>
    <col min="2817" max="2817" width="7.85546875" style="29" customWidth="1"/>
    <col min="2818" max="2818" width="0" style="29" hidden="1" customWidth="1"/>
    <col min="2819" max="2819" width="7.42578125" style="29" customWidth="1"/>
    <col min="2820" max="2820" width="1.42578125" style="29" customWidth="1"/>
    <col min="2821" max="2821" width="3.5703125" style="29" customWidth="1"/>
    <col min="2822" max="2823" width="0" style="29" hidden="1" customWidth="1"/>
    <col min="2824" max="2825" width="1.7109375" style="29" customWidth="1"/>
    <col min="2826" max="2826" width="6.85546875" style="29" customWidth="1"/>
    <col min="2827" max="2827" width="24.85546875" style="29" customWidth="1"/>
    <col min="2828" max="2828" width="18.85546875" style="29" bestFit="1" customWidth="1"/>
    <col min="2829" max="2843" width="0" style="29" hidden="1" customWidth="1"/>
    <col min="2844" max="2845" width="18.85546875" style="29" bestFit="1" customWidth="1"/>
    <col min="2846" max="2852" width="0" style="29" hidden="1" customWidth="1"/>
    <col min="2853" max="2853" width="17" style="29" customWidth="1"/>
    <col min="2854" max="2855" width="13.5703125" style="29" customWidth="1"/>
    <col min="2856" max="2856" width="14.7109375" style="29" customWidth="1"/>
    <col min="2857" max="2857" width="13.5703125" style="29" customWidth="1"/>
    <col min="2858" max="2858" width="14" style="29" customWidth="1"/>
    <col min="2859" max="2860" width="13.5703125" style="29" customWidth="1"/>
    <col min="2861" max="2861" width="13.28515625" style="29" customWidth="1"/>
    <col min="2862" max="2866" width="0" style="29" hidden="1" customWidth="1"/>
    <col min="2867" max="2867" width="9" style="29" customWidth="1"/>
    <col min="2868" max="2868" width="17.7109375" style="29" customWidth="1"/>
    <col min="2869" max="2869" width="15" style="29" customWidth="1"/>
    <col min="2870" max="2870" width="17.28515625" style="29" customWidth="1"/>
    <col min="2871" max="3072" width="6.85546875" style="29"/>
    <col min="3073" max="3073" width="7.85546875" style="29" customWidth="1"/>
    <col min="3074" max="3074" width="0" style="29" hidden="1" customWidth="1"/>
    <col min="3075" max="3075" width="7.42578125" style="29" customWidth="1"/>
    <col min="3076" max="3076" width="1.42578125" style="29" customWidth="1"/>
    <col min="3077" max="3077" width="3.5703125" style="29" customWidth="1"/>
    <col min="3078" max="3079" width="0" style="29" hidden="1" customWidth="1"/>
    <col min="3080" max="3081" width="1.7109375" style="29" customWidth="1"/>
    <col min="3082" max="3082" width="6.85546875" style="29" customWidth="1"/>
    <col min="3083" max="3083" width="24.85546875" style="29" customWidth="1"/>
    <col min="3084" max="3084" width="18.85546875" style="29" bestFit="1" customWidth="1"/>
    <col min="3085" max="3099" width="0" style="29" hidden="1" customWidth="1"/>
    <col min="3100" max="3101" width="18.85546875" style="29" bestFit="1" customWidth="1"/>
    <col min="3102" max="3108" width="0" style="29" hidden="1" customWidth="1"/>
    <col min="3109" max="3109" width="17" style="29" customWidth="1"/>
    <col min="3110" max="3111" width="13.5703125" style="29" customWidth="1"/>
    <col min="3112" max="3112" width="14.7109375" style="29" customWidth="1"/>
    <col min="3113" max="3113" width="13.5703125" style="29" customWidth="1"/>
    <col min="3114" max="3114" width="14" style="29" customWidth="1"/>
    <col min="3115" max="3116" width="13.5703125" style="29" customWidth="1"/>
    <col min="3117" max="3117" width="13.28515625" style="29" customWidth="1"/>
    <col min="3118" max="3122" width="0" style="29" hidden="1" customWidth="1"/>
    <col min="3123" max="3123" width="9" style="29" customWidth="1"/>
    <col min="3124" max="3124" width="17.7109375" style="29" customWidth="1"/>
    <col min="3125" max="3125" width="15" style="29" customWidth="1"/>
    <col min="3126" max="3126" width="17.28515625" style="29" customWidth="1"/>
    <col min="3127" max="3328" width="6.85546875" style="29"/>
    <col min="3329" max="3329" width="7.85546875" style="29" customWidth="1"/>
    <col min="3330" max="3330" width="0" style="29" hidden="1" customWidth="1"/>
    <col min="3331" max="3331" width="7.42578125" style="29" customWidth="1"/>
    <col min="3332" max="3332" width="1.42578125" style="29" customWidth="1"/>
    <col min="3333" max="3333" width="3.5703125" style="29" customWidth="1"/>
    <col min="3334" max="3335" width="0" style="29" hidden="1" customWidth="1"/>
    <col min="3336" max="3337" width="1.7109375" style="29" customWidth="1"/>
    <col min="3338" max="3338" width="6.85546875" style="29" customWidth="1"/>
    <col min="3339" max="3339" width="24.85546875" style="29" customWidth="1"/>
    <col min="3340" max="3340" width="18.85546875" style="29" bestFit="1" customWidth="1"/>
    <col min="3341" max="3355" width="0" style="29" hidden="1" customWidth="1"/>
    <col min="3356" max="3357" width="18.85546875" style="29" bestFit="1" customWidth="1"/>
    <col min="3358" max="3364" width="0" style="29" hidden="1" customWidth="1"/>
    <col min="3365" max="3365" width="17" style="29" customWidth="1"/>
    <col min="3366" max="3367" width="13.5703125" style="29" customWidth="1"/>
    <col min="3368" max="3368" width="14.7109375" style="29" customWidth="1"/>
    <col min="3369" max="3369" width="13.5703125" style="29" customWidth="1"/>
    <col min="3370" max="3370" width="14" style="29" customWidth="1"/>
    <col min="3371" max="3372" width="13.5703125" style="29" customWidth="1"/>
    <col min="3373" max="3373" width="13.28515625" style="29" customWidth="1"/>
    <col min="3374" max="3378" width="0" style="29" hidden="1" customWidth="1"/>
    <col min="3379" max="3379" width="9" style="29" customWidth="1"/>
    <col min="3380" max="3380" width="17.7109375" style="29" customWidth="1"/>
    <col min="3381" max="3381" width="15" style="29" customWidth="1"/>
    <col min="3382" max="3382" width="17.28515625" style="29" customWidth="1"/>
    <col min="3383" max="3584" width="6.85546875" style="29"/>
    <col min="3585" max="3585" width="7.85546875" style="29" customWidth="1"/>
    <col min="3586" max="3586" width="0" style="29" hidden="1" customWidth="1"/>
    <col min="3587" max="3587" width="7.42578125" style="29" customWidth="1"/>
    <col min="3588" max="3588" width="1.42578125" style="29" customWidth="1"/>
    <col min="3589" max="3589" width="3.5703125" style="29" customWidth="1"/>
    <col min="3590" max="3591" width="0" style="29" hidden="1" customWidth="1"/>
    <col min="3592" max="3593" width="1.7109375" style="29" customWidth="1"/>
    <col min="3594" max="3594" width="6.85546875" style="29" customWidth="1"/>
    <col min="3595" max="3595" width="24.85546875" style="29" customWidth="1"/>
    <col min="3596" max="3596" width="18.85546875" style="29" bestFit="1" customWidth="1"/>
    <col min="3597" max="3611" width="0" style="29" hidden="1" customWidth="1"/>
    <col min="3612" max="3613" width="18.85546875" style="29" bestFit="1" customWidth="1"/>
    <col min="3614" max="3620" width="0" style="29" hidden="1" customWidth="1"/>
    <col min="3621" max="3621" width="17" style="29" customWidth="1"/>
    <col min="3622" max="3623" width="13.5703125" style="29" customWidth="1"/>
    <col min="3624" max="3624" width="14.7109375" style="29" customWidth="1"/>
    <col min="3625" max="3625" width="13.5703125" style="29" customWidth="1"/>
    <col min="3626" max="3626" width="14" style="29" customWidth="1"/>
    <col min="3627" max="3628" width="13.5703125" style="29" customWidth="1"/>
    <col min="3629" max="3629" width="13.28515625" style="29" customWidth="1"/>
    <col min="3630" max="3634" width="0" style="29" hidden="1" customWidth="1"/>
    <col min="3635" max="3635" width="9" style="29" customWidth="1"/>
    <col min="3636" max="3636" width="17.7109375" style="29" customWidth="1"/>
    <col min="3637" max="3637" width="15" style="29" customWidth="1"/>
    <col min="3638" max="3638" width="17.28515625" style="29" customWidth="1"/>
    <col min="3639" max="3840" width="6.85546875" style="29"/>
    <col min="3841" max="3841" width="7.85546875" style="29" customWidth="1"/>
    <col min="3842" max="3842" width="0" style="29" hidden="1" customWidth="1"/>
    <col min="3843" max="3843" width="7.42578125" style="29" customWidth="1"/>
    <col min="3844" max="3844" width="1.42578125" style="29" customWidth="1"/>
    <col min="3845" max="3845" width="3.5703125" style="29" customWidth="1"/>
    <col min="3846" max="3847" width="0" style="29" hidden="1" customWidth="1"/>
    <col min="3848" max="3849" width="1.7109375" style="29" customWidth="1"/>
    <col min="3850" max="3850" width="6.85546875" style="29" customWidth="1"/>
    <col min="3851" max="3851" width="24.85546875" style="29" customWidth="1"/>
    <col min="3852" max="3852" width="18.85546875" style="29" bestFit="1" customWidth="1"/>
    <col min="3853" max="3867" width="0" style="29" hidden="1" customWidth="1"/>
    <col min="3868" max="3869" width="18.85546875" style="29" bestFit="1" customWidth="1"/>
    <col min="3870" max="3876" width="0" style="29" hidden="1" customWidth="1"/>
    <col min="3877" max="3877" width="17" style="29" customWidth="1"/>
    <col min="3878" max="3879" width="13.5703125" style="29" customWidth="1"/>
    <col min="3880" max="3880" width="14.7109375" style="29" customWidth="1"/>
    <col min="3881" max="3881" width="13.5703125" style="29" customWidth="1"/>
    <col min="3882" max="3882" width="14" style="29" customWidth="1"/>
    <col min="3883" max="3884" width="13.5703125" style="29" customWidth="1"/>
    <col min="3885" max="3885" width="13.28515625" style="29" customWidth="1"/>
    <col min="3886" max="3890" width="0" style="29" hidden="1" customWidth="1"/>
    <col min="3891" max="3891" width="9" style="29" customWidth="1"/>
    <col min="3892" max="3892" width="17.7109375" style="29" customWidth="1"/>
    <col min="3893" max="3893" width="15" style="29" customWidth="1"/>
    <col min="3894" max="3894" width="17.28515625" style="29" customWidth="1"/>
    <col min="3895" max="4096" width="6.85546875" style="29"/>
    <col min="4097" max="4097" width="7.85546875" style="29" customWidth="1"/>
    <col min="4098" max="4098" width="0" style="29" hidden="1" customWidth="1"/>
    <col min="4099" max="4099" width="7.42578125" style="29" customWidth="1"/>
    <col min="4100" max="4100" width="1.42578125" style="29" customWidth="1"/>
    <col min="4101" max="4101" width="3.5703125" style="29" customWidth="1"/>
    <col min="4102" max="4103" width="0" style="29" hidden="1" customWidth="1"/>
    <col min="4104" max="4105" width="1.7109375" style="29" customWidth="1"/>
    <col min="4106" max="4106" width="6.85546875" style="29" customWidth="1"/>
    <col min="4107" max="4107" width="24.85546875" style="29" customWidth="1"/>
    <col min="4108" max="4108" width="18.85546875" style="29" bestFit="1" customWidth="1"/>
    <col min="4109" max="4123" width="0" style="29" hidden="1" customWidth="1"/>
    <col min="4124" max="4125" width="18.85546875" style="29" bestFit="1" customWidth="1"/>
    <col min="4126" max="4132" width="0" style="29" hidden="1" customWidth="1"/>
    <col min="4133" max="4133" width="17" style="29" customWidth="1"/>
    <col min="4134" max="4135" width="13.5703125" style="29" customWidth="1"/>
    <col min="4136" max="4136" width="14.7109375" style="29" customWidth="1"/>
    <col min="4137" max="4137" width="13.5703125" style="29" customWidth="1"/>
    <col min="4138" max="4138" width="14" style="29" customWidth="1"/>
    <col min="4139" max="4140" width="13.5703125" style="29" customWidth="1"/>
    <col min="4141" max="4141" width="13.28515625" style="29" customWidth="1"/>
    <col min="4142" max="4146" width="0" style="29" hidden="1" customWidth="1"/>
    <col min="4147" max="4147" width="9" style="29" customWidth="1"/>
    <col min="4148" max="4148" width="17.7109375" style="29" customWidth="1"/>
    <col min="4149" max="4149" width="15" style="29" customWidth="1"/>
    <col min="4150" max="4150" width="17.28515625" style="29" customWidth="1"/>
    <col min="4151" max="4352" width="6.85546875" style="29"/>
    <col min="4353" max="4353" width="7.85546875" style="29" customWidth="1"/>
    <col min="4354" max="4354" width="0" style="29" hidden="1" customWidth="1"/>
    <col min="4355" max="4355" width="7.42578125" style="29" customWidth="1"/>
    <col min="4356" max="4356" width="1.42578125" style="29" customWidth="1"/>
    <col min="4357" max="4357" width="3.5703125" style="29" customWidth="1"/>
    <col min="4358" max="4359" width="0" style="29" hidden="1" customWidth="1"/>
    <col min="4360" max="4361" width="1.7109375" style="29" customWidth="1"/>
    <col min="4362" max="4362" width="6.85546875" style="29" customWidth="1"/>
    <col min="4363" max="4363" width="24.85546875" style="29" customWidth="1"/>
    <col min="4364" max="4364" width="18.85546875" style="29" bestFit="1" customWidth="1"/>
    <col min="4365" max="4379" width="0" style="29" hidden="1" customWidth="1"/>
    <col min="4380" max="4381" width="18.85546875" style="29" bestFit="1" customWidth="1"/>
    <col min="4382" max="4388" width="0" style="29" hidden="1" customWidth="1"/>
    <col min="4389" max="4389" width="17" style="29" customWidth="1"/>
    <col min="4390" max="4391" width="13.5703125" style="29" customWidth="1"/>
    <col min="4392" max="4392" width="14.7109375" style="29" customWidth="1"/>
    <col min="4393" max="4393" width="13.5703125" style="29" customWidth="1"/>
    <col min="4394" max="4394" width="14" style="29" customWidth="1"/>
    <col min="4395" max="4396" width="13.5703125" style="29" customWidth="1"/>
    <col min="4397" max="4397" width="13.28515625" style="29" customWidth="1"/>
    <col min="4398" max="4402" width="0" style="29" hidden="1" customWidth="1"/>
    <col min="4403" max="4403" width="9" style="29" customWidth="1"/>
    <col min="4404" max="4404" width="17.7109375" style="29" customWidth="1"/>
    <col min="4405" max="4405" width="15" style="29" customWidth="1"/>
    <col min="4406" max="4406" width="17.28515625" style="29" customWidth="1"/>
    <col min="4407" max="4608" width="6.85546875" style="29"/>
    <col min="4609" max="4609" width="7.85546875" style="29" customWidth="1"/>
    <col min="4610" max="4610" width="0" style="29" hidden="1" customWidth="1"/>
    <col min="4611" max="4611" width="7.42578125" style="29" customWidth="1"/>
    <col min="4612" max="4612" width="1.42578125" style="29" customWidth="1"/>
    <col min="4613" max="4613" width="3.5703125" style="29" customWidth="1"/>
    <col min="4614" max="4615" width="0" style="29" hidden="1" customWidth="1"/>
    <col min="4616" max="4617" width="1.7109375" style="29" customWidth="1"/>
    <col min="4618" max="4618" width="6.85546875" style="29" customWidth="1"/>
    <col min="4619" max="4619" width="24.85546875" style="29" customWidth="1"/>
    <col min="4620" max="4620" width="18.85546875" style="29" bestFit="1" customWidth="1"/>
    <col min="4621" max="4635" width="0" style="29" hidden="1" customWidth="1"/>
    <col min="4636" max="4637" width="18.85546875" style="29" bestFit="1" customWidth="1"/>
    <col min="4638" max="4644" width="0" style="29" hidden="1" customWidth="1"/>
    <col min="4645" max="4645" width="17" style="29" customWidth="1"/>
    <col min="4646" max="4647" width="13.5703125" style="29" customWidth="1"/>
    <col min="4648" max="4648" width="14.7109375" style="29" customWidth="1"/>
    <col min="4649" max="4649" width="13.5703125" style="29" customWidth="1"/>
    <col min="4650" max="4650" width="14" style="29" customWidth="1"/>
    <col min="4651" max="4652" width="13.5703125" style="29" customWidth="1"/>
    <col min="4653" max="4653" width="13.28515625" style="29" customWidth="1"/>
    <col min="4654" max="4658" width="0" style="29" hidden="1" customWidth="1"/>
    <col min="4659" max="4659" width="9" style="29" customWidth="1"/>
    <col min="4660" max="4660" width="17.7109375" style="29" customWidth="1"/>
    <col min="4661" max="4661" width="15" style="29" customWidth="1"/>
    <col min="4662" max="4662" width="17.28515625" style="29" customWidth="1"/>
    <col min="4663" max="4864" width="6.85546875" style="29"/>
    <col min="4865" max="4865" width="7.85546875" style="29" customWidth="1"/>
    <col min="4866" max="4866" width="0" style="29" hidden="1" customWidth="1"/>
    <col min="4867" max="4867" width="7.42578125" style="29" customWidth="1"/>
    <col min="4868" max="4868" width="1.42578125" style="29" customWidth="1"/>
    <col min="4869" max="4869" width="3.5703125" style="29" customWidth="1"/>
    <col min="4870" max="4871" width="0" style="29" hidden="1" customWidth="1"/>
    <col min="4872" max="4873" width="1.7109375" style="29" customWidth="1"/>
    <col min="4874" max="4874" width="6.85546875" style="29" customWidth="1"/>
    <col min="4875" max="4875" width="24.85546875" style="29" customWidth="1"/>
    <col min="4876" max="4876" width="18.85546875" style="29" bestFit="1" customWidth="1"/>
    <col min="4877" max="4891" width="0" style="29" hidden="1" customWidth="1"/>
    <col min="4892" max="4893" width="18.85546875" style="29" bestFit="1" customWidth="1"/>
    <col min="4894" max="4900" width="0" style="29" hidden="1" customWidth="1"/>
    <col min="4901" max="4901" width="17" style="29" customWidth="1"/>
    <col min="4902" max="4903" width="13.5703125" style="29" customWidth="1"/>
    <col min="4904" max="4904" width="14.7109375" style="29" customWidth="1"/>
    <col min="4905" max="4905" width="13.5703125" style="29" customWidth="1"/>
    <col min="4906" max="4906" width="14" style="29" customWidth="1"/>
    <col min="4907" max="4908" width="13.5703125" style="29" customWidth="1"/>
    <col min="4909" max="4909" width="13.28515625" style="29" customWidth="1"/>
    <col min="4910" max="4914" width="0" style="29" hidden="1" customWidth="1"/>
    <col min="4915" max="4915" width="9" style="29" customWidth="1"/>
    <col min="4916" max="4916" width="17.7109375" style="29" customWidth="1"/>
    <col min="4917" max="4917" width="15" style="29" customWidth="1"/>
    <col min="4918" max="4918" width="17.28515625" style="29" customWidth="1"/>
    <col min="4919" max="5120" width="6.85546875" style="29"/>
    <col min="5121" max="5121" width="7.85546875" style="29" customWidth="1"/>
    <col min="5122" max="5122" width="0" style="29" hidden="1" customWidth="1"/>
    <col min="5123" max="5123" width="7.42578125" style="29" customWidth="1"/>
    <col min="5124" max="5124" width="1.42578125" style="29" customWidth="1"/>
    <col min="5125" max="5125" width="3.5703125" style="29" customWidth="1"/>
    <col min="5126" max="5127" width="0" style="29" hidden="1" customWidth="1"/>
    <col min="5128" max="5129" width="1.7109375" style="29" customWidth="1"/>
    <col min="5130" max="5130" width="6.85546875" style="29" customWidth="1"/>
    <col min="5131" max="5131" width="24.85546875" style="29" customWidth="1"/>
    <col min="5132" max="5132" width="18.85546875" style="29" bestFit="1" customWidth="1"/>
    <col min="5133" max="5147" width="0" style="29" hidden="1" customWidth="1"/>
    <col min="5148" max="5149" width="18.85546875" style="29" bestFit="1" customWidth="1"/>
    <col min="5150" max="5156" width="0" style="29" hidden="1" customWidth="1"/>
    <col min="5157" max="5157" width="17" style="29" customWidth="1"/>
    <col min="5158" max="5159" width="13.5703125" style="29" customWidth="1"/>
    <col min="5160" max="5160" width="14.7109375" style="29" customWidth="1"/>
    <col min="5161" max="5161" width="13.5703125" style="29" customWidth="1"/>
    <col min="5162" max="5162" width="14" style="29" customWidth="1"/>
    <col min="5163" max="5164" width="13.5703125" style="29" customWidth="1"/>
    <col min="5165" max="5165" width="13.28515625" style="29" customWidth="1"/>
    <col min="5166" max="5170" width="0" style="29" hidden="1" customWidth="1"/>
    <col min="5171" max="5171" width="9" style="29" customWidth="1"/>
    <col min="5172" max="5172" width="17.7109375" style="29" customWidth="1"/>
    <col min="5173" max="5173" width="15" style="29" customWidth="1"/>
    <col min="5174" max="5174" width="17.28515625" style="29" customWidth="1"/>
    <col min="5175" max="5376" width="6.85546875" style="29"/>
    <col min="5377" max="5377" width="7.85546875" style="29" customWidth="1"/>
    <col min="5378" max="5378" width="0" style="29" hidden="1" customWidth="1"/>
    <col min="5379" max="5379" width="7.42578125" style="29" customWidth="1"/>
    <col min="5380" max="5380" width="1.42578125" style="29" customWidth="1"/>
    <col min="5381" max="5381" width="3.5703125" style="29" customWidth="1"/>
    <col min="5382" max="5383" width="0" style="29" hidden="1" customWidth="1"/>
    <col min="5384" max="5385" width="1.7109375" style="29" customWidth="1"/>
    <col min="5386" max="5386" width="6.85546875" style="29" customWidth="1"/>
    <col min="5387" max="5387" width="24.85546875" style="29" customWidth="1"/>
    <col min="5388" max="5388" width="18.85546875" style="29" bestFit="1" customWidth="1"/>
    <col min="5389" max="5403" width="0" style="29" hidden="1" customWidth="1"/>
    <col min="5404" max="5405" width="18.85546875" style="29" bestFit="1" customWidth="1"/>
    <col min="5406" max="5412" width="0" style="29" hidden="1" customWidth="1"/>
    <col min="5413" max="5413" width="17" style="29" customWidth="1"/>
    <col min="5414" max="5415" width="13.5703125" style="29" customWidth="1"/>
    <col min="5416" max="5416" width="14.7109375" style="29" customWidth="1"/>
    <col min="5417" max="5417" width="13.5703125" style="29" customWidth="1"/>
    <col min="5418" max="5418" width="14" style="29" customWidth="1"/>
    <col min="5419" max="5420" width="13.5703125" style="29" customWidth="1"/>
    <col min="5421" max="5421" width="13.28515625" style="29" customWidth="1"/>
    <col min="5422" max="5426" width="0" style="29" hidden="1" customWidth="1"/>
    <col min="5427" max="5427" width="9" style="29" customWidth="1"/>
    <col min="5428" max="5428" width="17.7109375" style="29" customWidth="1"/>
    <col min="5429" max="5429" width="15" style="29" customWidth="1"/>
    <col min="5430" max="5430" width="17.28515625" style="29" customWidth="1"/>
    <col min="5431" max="5632" width="6.85546875" style="29"/>
    <col min="5633" max="5633" width="7.85546875" style="29" customWidth="1"/>
    <col min="5634" max="5634" width="0" style="29" hidden="1" customWidth="1"/>
    <col min="5635" max="5635" width="7.42578125" style="29" customWidth="1"/>
    <col min="5636" max="5636" width="1.42578125" style="29" customWidth="1"/>
    <col min="5637" max="5637" width="3.5703125" style="29" customWidth="1"/>
    <col min="5638" max="5639" width="0" style="29" hidden="1" customWidth="1"/>
    <col min="5640" max="5641" width="1.7109375" style="29" customWidth="1"/>
    <col min="5642" max="5642" width="6.85546875" style="29" customWidth="1"/>
    <col min="5643" max="5643" width="24.85546875" style="29" customWidth="1"/>
    <col min="5644" max="5644" width="18.85546875" style="29" bestFit="1" customWidth="1"/>
    <col min="5645" max="5659" width="0" style="29" hidden="1" customWidth="1"/>
    <col min="5660" max="5661" width="18.85546875" style="29" bestFit="1" customWidth="1"/>
    <col min="5662" max="5668" width="0" style="29" hidden="1" customWidth="1"/>
    <col min="5669" max="5669" width="17" style="29" customWidth="1"/>
    <col min="5670" max="5671" width="13.5703125" style="29" customWidth="1"/>
    <col min="5672" max="5672" width="14.7109375" style="29" customWidth="1"/>
    <col min="5673" max="5673" width="13.5703125" style="29" customWidth="1"/>
    <col min="5674" max="5674" width="14" style="29" customWidth="1"/>
    <col min="5675" max="5676" width="13.5703125" style="29" customWidth="1"/>
    <col min="5677" max="5677" width="13.28515625" style="29" customWidth="1"/>
    <col min="5678" max="5682" width="0" style="29" hidden="1" customWidth="1"/>
    <col min="5683" max="5683" width="9" style="29" customWidth="1"/>
    <col min="5684" max="5684" width="17.7109375" style="29" customWidth="1"/>
    <col min="5685" max="5685" width="15" style="29" customWidth="1"/>
    <col min="5686" max="5686" width="17.28515625" style="29" customWidth="1"/>
    <col min="5687" max="5888" width="6.85546875" style="29"/>
    <col min="5889" max="5889" width="7.85546875" style="29" customWidth="1"/>
    <col min="5890" max="5890" width="0" style="29" hidden="1" customWidth="1"/>
    <col min="5891" max="5891" width="7.42578125" style="29" customWidth="1"/>
    <col min="5892" max="5892" width="1.42578125" style="29" customWidth="1"/>
    <col min="5893" max="5893" width="3.5703125" style="29" customWidth="1"/>
    <col min="5894" max="5895" width="0" style="29" hidden="1" customWidth="1"/>
    <col min="5896" max="5897" width="1.7109375" style="29" customWidth="1"/>
    <col min="5898" max="5898" width="6.85546875" style="29" customWidth="1"/>
    <col min="5899" max="5899" width="24.85546875" style="29" customWidth="1"/>
    <col min="5900" max="5900" width="18.85546875" style="29" bestFit="1" customWidth="1"/>
    <col min="5901" max="5915" width="0" style="29" hidden="1" customWidth="1"/>
    <col min="5916" max="5917" width="18.85546875" style="29" bestFit="1" customWidth="1"/>
    <col min="5918" max="5924" width="0" style="29" hidden="1" customWidth="1"/>
    <col min="5925" max="5925" width="17" style="29" customWidth="1"/>
    <col min="5926" max="5927" width="13.5703125" style="29" customWidth="1"/>
    <col min="5928" max="5928" width="14.7109375" style="29" customWidth="1"/>
    <col min="5929" max="5929" width="13.5703125" style="29" customWidth="1"/>
    <col min="5930" max="5930" width="14" style="29" customWidth="1"/>
    <col min="5931" max="5932" width="13.5703125" style="29" customWidth="1"/>
    <col min="5933" max="5933" width="13.28515625" style="29" customWidth="1"/>
    <col min="5934" max="5938" width="0" style="29" hidden="1" customWidth="1"/>
    <col min="5939" max="5939" width="9" style="29" customWidth="1"/>
    <col min="5940" max="5940" width="17.7109375" style="29" customWidth="1"/>
    <col min="5941" max="5941" width="15" style="29" customWidth="1"/>
    <col min="5942" max="5942" width="17.28515625" style="29" customWidth="1"/>
    <col min="5943" max="6144" width="6.85546875" style="29"/>
    <col min="6145" max="6145" width="7.85546875" style="29" customWidth="1"/>
    <col min="6146" max="6146" width="0" style="29" hidden="1" customWidth="1"/>
    <col min="6147" max="6147" width="7.42578125" style="29" customWidth="1"/>
    <col min="6148" max="6148" width="1.42578125" style="29" customWidth="1"/>
    <col min="6149" max="6149" width="3.5703125" style="29" customWidth="1"/>
    <col min="6150" max="6151" width="0" style="29" hidden="1" customWidth="1"/>
    <col min="6152" max="6153" width="1.7109375" style="29" customWidth="1"/>
    <col min="6154" max="6154" width="6.85546875" style="29" customWidth="1"/>
    <col min="6155" max="6155" width="24.85546875" style="29" customWidth="1"/>
    <col min="6156" max="6156" width="18.85546875" style="29" bestFit="1" customWidth="1"/>
    <col min="6157" max="6171" width="0" style="29" hidden="1" customWidth="1"/>
    <col min="6172" max="6173" width="18.85546875" style="29" bestFit="1" customWidth="1"/>
    <col min="6174" max="6180" width="0" style="29" hidden="1" customWidth="1"/>
    <col min="6181" max="6181" width="17" style="29" customWidth="1"/>
    <col min="6182" max="6183" width="13.5703125" style="29" customWidth="1"/>
    <col min="6184" max="6184" width="14.7109375" style="29" customWidth="1"/>
    <col min="6185" max="6185" width="13.5703125" style="29" customWidth="1"/>
    <col min="6186" max="6186" width="14" style="29" customWidth="1"/>
    <col min="6187" max="6188" width="13.5703125" style="29" customWidth="1"/>
    <col min="6189" max="6189" width="13.28515625" style="29" customWidth="1"/>
    <col min="6190" max="6194" width="0" style="29" hidden="1" customWidth="1"/>
    <col min="6195" max="6195" width="9" style="29" customWidth="1"/>
    <col min="6196" max="6196" width="17.7109375" style="29" customWidth="1"/>
    <col min="6197" max="6197" width="15" style="29" customWidth="1"/>
    <col min="6198" max="6198" width="17.28515625" style="29" customWidth="1"/>
    <col min="6199" max="6400" width="6.85546875" style="29"/>
    <col min="6401" max="6401" width="7.85546875" style="29" customWidth="1"/>
    <col min="6402" max="6402" width="0" style="29" hidden="1" customWidth="1"/>
    <col min="6403" max="6403" width="7.42578125" style="29" customWidth="1"/>
    <col min="6404" max="6404" width="1.42578125" style="29" customWidth="1"/>
    <col min="6405" max="6405" width="3.5703125" style="29" customWidth="1"/>
    <col min="6406" max="6407" width="0" style="29" hidden="1" customWidth="1"/>
    <col min="6408" max="6409" width="1.7109375" style="29" customWidth="1"/>
    <col min="6410" max="6410" width="6.85546875" style="29" customWidth="1"/>
    <col min="6411" max="6411" width="24.85546875" style="29" customWidth="1"/>
    <col min="6412" max="6412" width="18.85546875" style="29" bestFit="1" customWidth="1"/>
    <col min="6413" max="6427" width="0" style="29" hidden="1" customWidth="1"/>
    <col min="6428" max="6429" width="18.85546875" style="29" bestFit="1" customWidth="1"/>
    <col min="6430" max="6436" width="0" style="29" hidden="1" customWidth="1"/>
    <col min="6437" max="6437" width="17" style="29" customWidth="1"/>
    <col min="6438" max="6439" width="13.5703125" style="29" customWidth="1"/>
    <col min="6440" max="6440" width="14.7109375" style="29" customWidth="1"/>
    <col min="6441" max="6441" width="13.5703125" style="29" customWidth="1"/>
    <col min="6442" max="6442" width="14" style="29" customWidth="1"/>
    <col min="6443" max="6444" width="13.5703125" style="29" customWidth="1"/>
    <col min="6445" max="6445" width="13.28515625" style="29" customWidth="1"/>
    <col min="6446" max="6450" width="0" style="29" hidden="1" customWidth="1"/>
    <col min="6451" max="6451" width="9" style="29" customWidth="1"/>
    <col min="6452" max="6452" width="17.7109375" style="29" customWidth="1"/>
    <col min="6453" max="6453" width="15" style="29" customWidth="1"/>
    <col min="6454" max="6454" width="17.28515625" style="29" customWidth="1"/>
    <col min="6455" max="6656" width="6.85546875" style="29"/>
    <col min="6657" max="6657" width="7.85546875" style="29" customWidth="1"/>
    <col min="6658" max="6658" width="0" style="29" hidden="1" customWidth="1"/>
    <col min="6659" max="6659" width="7.42578125" style="29" customWidth="1"/>
    <col min="6660" max="6660" width="1.42578125" style="29" customWidth="1"/>
    <col min="6661" max="6661" width="3.5703125" style="29" customWidth="1"/>
    <col min="6662" max="6663" width="0" style="29" hidden="1" customWidth="1"/>
    <col min="6664" max="6665" width="1.7109375" style="29" customWidth="1"/>
    <col min="6666" max="6666" width="6.85546875" style="29" customWidth="1"/>
    <col min="6667" max="6667" width="24.85546875" style="29" customWidth="1"/>
    <col min="6668" max="6668" width="18.85546875" style="29" bestFit="1" customWidth="1"/>
    <col min="6669" max="6683" width="0" style="29" hidden="1" customWidth="1"/>
    <col min="6684" max="6685" width="18.85546875" style="29" bestFit="1" customWidth="1"/>
    <col min="6686" max="6692" width="0" style="29" hidden="1" customWidth="1"/>
    <col min="6693" max="6693" width="17" style="29" customWidth="1"/>
    <col min="6694" max="6695" width="13.5703125" style="29" customWidth="1"/>
    <col min="6696" max="6696" width="14.7109375" style="29" customWidth="1"/>
    <col min="6697" max="6697" width="13.5703125" style="29" customWidth="1"/>
    <col min="6698" max="6698" width="14" style="29" customWidth="1"/>
    <col min="6699" max="6700" width="13.5703125" style="29" customWidth="1"/>
    <col min="6701" max="6701" width="13.28515625" style="29" customWidth="1"/>
    <col min="6702" max="6706" width="0" style="29" hidden="1" customWidth="1"/>
    <col min="6707" max="6707" width="9" style="29" customWidth="1"/>
    <col min="6708" max="6708" width="17.7109375" style="29" customWidth="1"/>
    <col min="6709" max="6709" width="15" style="29" customWidth="1"/>
    <col min="6710" max="6710" width="17.28515625" style="29" customWidth="1"/>
    <col min="6711" max="6912" width="6.85546875" style="29"/>
    <col min="6913" max="6913" width="7.85546875" style="29" customWidth="1"/>
    <col min="6914" max="6914" width="0" style="29" hidden="1" customWidth="1"/>
    <col min="6915" max="6915" width="7.42578125" style="29" customWidth="1"/>
    <col min="6916" max="6916" width="1.42578125" style="29" customWidth="1"/>
    <col min="6917" max="6917" width="3.5703125" style="29" customWidth="1"/>
    <col min="6918" max="6919" width="0" style="29" hidden="1" customWidth="1"/>
    <col min="6920" max="6921" width="1.7109375" style="29" customWidth="1"/>
    <col min="6922" max="6922" width="6.85546875" style="29" customWidth="1"/>
    <col min="6923" max="6923" width="24.85546875" style="29" customWidth="1"/>
    <col min="6924" max="6924" width="18.85546875" style="29" bestFit="1" customWidth="1"/>
    <col min="6925" max="6939" width="0" style="29" hidden="1" customWidth="1"/>
    <col min="6940" max="6941" width="18.85546875" style="29" bestFit="1" customWidth="1"/>
    <col min="6942" max="6948" width="0" style="29" hidden="1" customWidth="1"/>
    <col min="6949" max="6949" width="17" style="29" customWidth="1"/>
    <col min="6950" max="6951" width="13.5703125" style="29" customWidth="1"/>
    <col min="6952" max="6952" width="14.7109375" style="29" customWidth="1"/>
    <col min="6953" max="6953" width="13.5703125" style="29" customWidth="1"/>
    <col min="6954" max="6954" width="14" style="29" customWidth="1"/>
    <col min="6955" max="6956" width="13.5703125" style="29" customWidth="1"/>
    <col min="6957" max="6957" width="13.28515625" style="29" customWidth="1"/>
    <col min="6958" max="6962" width="0" style="29" hidden="1" customWidth="1"/>
    <col min="6963" max="6963" width="9" style="29" customWidth="1"/>
    <col min="6964" max="6964" width="17.7109375" style="29" customWidth="1"/>
    <col min="6965" max="6965" width="15" style="29" customWidth="1"/>
    <col min="6966" max="6966" width="17.28515625" style="29" customWidth="1"/>
    <col min="6967" max="7168" width="6.85546875" style="29"/>
    <col min="7169" max="7169" width="7.85546875" style="29" customWidth="1"/>
    <col min="7170" max="7170" width="0" style="29" hidden="1" customWidth="1"/>
    <col min="7171" max="7171" width="7.42578125" style="29" customWidth="1"/>
    <col min="7172" max="7172" width="1.42578125" style="29" customWidth="1"/>
    <col min="7173" max="7173" width="3.5703125" style="29" customWidth="1"/>
    <col min="7174" max="7175" width="0" style="29" hidden="1" customWidth="1"/>
    <col min="7176" max="7177" width="1.7109375" style="29" customWidth="1"/>
    <col min="7178" max="7178" width="6.85546875" style="29" customWidth="1"/>
    <col min="7179" max="7179" width="24.85546875" style="29" customWidth="1"/>
    <col min="7180" max="7180" width="18.85546875" style="29" bestFit="1" customWidth="1"/>
    <col min="7181" max="7195" width="0" style="29" hidden="1" customWidth="1"/>
    <col min="7196" max="7197" width="18.85546875" style="29" bestFit="1" customWidth="1"/>
    <col min="7198" max="7204" width="0" style="29" hidden="1" customWidth="1"/>
    <col min="7205" max="7205" width="17" style="29" customWidth="1"/>
    <col min="7206" max="7207" width="13.5703125" style="29" customWidth="1"/>
    <col min="7208" max="7208" width="14.7109375" style="29" customWidth="1"/>
    <col min="7209" max="7209" width="13.5703125" style="29" customWidth="1"/>
    <col min="7210" max="7210" width="14" style="29" customWidth="1"/>
    <col min="7211" max="7212" width="13.5703125" style="29" customWidth="1"/>
    <col min="7213" max="7213" width="13.28515625" style="29" customWidth="1"/>
    <col min="7214" max="7218" width="0" style="29" hidden="1" customWidth="1"/>
    <col min="7219" max="7219" width="9" style="29" customWidth="1"/>
    <col min="7220" max="7220" width="17.7109375" style="29" customWidth="1"/>
    <col min="7221" max="7221" width="15" style="29" customWidth="1"/>
    <col min="7222" max="7222" width="17.28515625" style="29" customWidth="1"/>
    <col min="7223" max="7424" width="6.85546875" style="29"/>
    <col min="7425" max="7425" width="7.85546875" style="29" customWidth="1"/>
    <col min="7426" max="7426" width="0" style="29" hidden="1" customWidth="1"/>
    <col min="7427" max="7427" width="7.42578125" style="29" customWidth="1"/>
    <col min="7428" max="7428" width="1.42578125" style="29" customWidth="1"/>
    <col min="7429" max="7429" width="3.5703125" style="29" customWidth="1"/>
    <col min="7430" max="7431" width="0" style="29" hidden="1" customWidth="1"/>
    <col min="7432" max="7433" width="1.7109375" style="29" customWidth="1"/>
    <col min="7434" max="7434" width="6.85546875" style="29" customWidth="1"/>
    <col min="7435" max="7435" width="24.85546875" style="29" customWidth="1"/>
    <col min="7436" max="7436" width="18.85546875" style="29" bestFit="1" customWidth="1"/>
    <col min="7437" max="7451" width="0" style="29" hidden="1" customWidth="1"/>
    <col min="7452" max="7453" width="18.85546875" style="29" bestFit="1" customWidth="1"/>
    <col min="7454" max="7460" width="0" style="29" hidden="1" customWidth="1"/>
    <col min="7461" max="7461" width="17" style="29" customWidth="1"/>
    <col min="7462" max="7463" width="13.5703125" style="29" customWidth="1"/>
    <col min="7464" max="7464" width="14.7109375" style="29" customWidth="1"/>
    <col min="7465" max="7465" width="13.5703125" style="29" customWidth="1"/>
    <col min="7466" max="7466" width="14" style="29" customWidth="1"/>
    <col min="7467" max="7468" width="13.5703125" style="29" customWidth="1"/>
    <col min="7469" max="7469" width="13.28515625" style="29" customWidth="1"/>
    <col min="7470" max="7474" width="0" style="29" hidden="1" customWidth="1"/>
    <col min="7475" max="7475" width="9" style="29" customWidth="1"/>
    <col min="7476" max="7476" width="17.7109375" style="29" customWidth="1"/>
    <col min="7477" max="7477" width="15" style="29" customWidth="1"/>
    <col min="7478" max="7478" width="17.28515625" style="29" customWidth="1"/>
    <col min="7479" max="7680" width="6.85546875" style="29"/>
    <col min="7681" max="7681" width="7.85546875" style="29" customWidth="1"/>
    <col min="7682" max="7682" width="0" style="29" hidden="1" customWidth="1"/>
    <col min="7683" max="7683" width="7.42578125" style="29" customWidth="1"/>
    <col min="7684" max="7684" width="1.42578125" style="29" customWidth="1"/>
    <col min="7685" max="7685" width="3.5703125" style="29" customWidth="1"/>
    <col min="7686" max="7687" width="0" style="29" hidden="1" customWidth="1"/>
    <col min="7688" max="7689" width="1.7109375" style="29" customWidth="1"/>
    <col min="7690" max="7690" width="6.85546875" style="29" customWidth="1"/>
    <col min="7691" max="7691" width="24.85546875" style="29" customWidth="1"/>
    <col min="7692" max="7692" width="18.85546875" style="29" bestFit="1" customWidth="1"/>
    <col min="7693" max="7707" width="0" style="29" hidden="1" customWidth="1"/>
    <col min="7708" max="7709" width="18.85546875" style="29" bestFit="1" customWidth="1"/>
    <col min="7710" max="7716" width="0" style="29" hidden="1" customWidth="1"/>
    <col min="7717" max="7717" width="17" style="29" customWidth="1"/>
    <col min="7718" max="7719" width="13.5703125" style="29" customWidth="1"/>
    <col min="7720" max="7720" width="14.7109375" style="29" customWidth="1"/>
    <col min="7721" max="7721" width="13.5703125" style="29" customWidth="1"/>
    <col min="7722" max="7722" width="14" style="29" customWidth="1"/>
    <col min="7723" max="7724" width="13.5703125" style="29" customWidth="1"/>
    <col min="7725" max="7725" width="13.28515625" style="29" customWidth="1"/>
    <col min="7726" max="7730" width="0" style="29" hidden="1" customWidth="1"/>
    <col min="7731" max="7731" width="9" style="29" customWidth="1"/>
    <col min="7732" max="7732" width="17.7109375" style="29" customWidth="1"/>
    <col min="7733" max="7733" width="15" style="29" customWidth="1"/>
    <col min="7734" max="7734" width="17.28515625" style="29" customWidth="1"/>
    <col min="7735" max="7936" width="6.85546875" style="29"/>
    <col min="7937" max="7937" width="7.85546875" style="29" customWidth="1"/>
    <col min="7938" max="7938" width="0" style="29" hidden="1" customWidth="1"/>
    <col min="7939" max="7939" width="7.42578125" style="29" customWidth="1"/>
    <col min="7940" max="7940" width="1.42578125" style="29" customWidth="1"/>
    <col min="7941" max="7941" width="3.5703125" style="29" customWidth="1"/>
    <col min="7942" max="7943" width="0" style="29" hidden="1" customWidth="1"/>
    <col min="7944" max="7945" width="1.7109375" style="29" customWidth="1"/>
    <col min="7946" max="7946" width="6.85546875" style="29" customWidth="1"/>
    <col min="7947" max="7947" width="24.85546875" style="29" customWidth="1"/>
    <col min="7948" max="7948" width="18.85546875" style="29" bestFit="1" customWidth="1"/>
    <col min="7949" max="7963" width="0" style="29" hidden="1" customWidth="1"/>
    <col min="7964" max="7965" width="18.85546875" style="29" bestFit="1" customWidth="1"/>
    <col min="7966" max="7972" width="0" style="29" hidden="1" customWidth="1"/>
    <col min="7973" max="7973" width="17" style="29" customWidth="1"/>
    <col min="7974" max="7975" width="13.5703125" style="29" customWidth="1"/>
    <col min="7976" max="7976" width="14.7109375" style="29" customWidth="1"/>
    <col min="7977" max="7977" width="13.5703125" style="29" customWidth="1"/>
    <col min="7978" max="7978" width="14" style="29" customWidth="1"/>
    <col min="7979" max="7980" width="13.5703125" style="29" customWidth="1"/>
    <col min="7981" max="7981" width="13.28515625" style="29" customWidth="1"/>
    <col min="7982" max="7986" width="0" style="29" hidden="1" customWidth="1"/>
    <col min="7987" max="7987" width="9" style="29" customWidth="1"/>
    <col min="7988" max="7988" width="17.7109375" style="29" customWidth="1"/>
    <col min="7989" max="7989" width="15" style="29" customWidth="1"/>
    <col min="7990" max="7990" width="17.28515625" style="29" customWidth="1"/>
    <col min="7991" max="8192" width="6.85546875" style="29"/>
    <col min="8193" max="8193" width="7.85546875" style="29" customWidth="1"/>
    <col min="8194" max="8194" width="0" style="29" hidden="1" customWidth="1"/>
    <col min="8195" max="8195" width="7.42578125" style="29" customWidth="1"/>
    <col min="8196" max="8196" width="1.42578125" style="29" customWidth="1"/>
    <col min="8197" max="8197" width="3.5703125" style="29" customWidth="1"/>
    <col min="8198" max="8199" width="0" style="29" hidden="1" customWidth="1"/>
    <col min="8200" max="8201" width="1.7109375" style="29" customWidth="1"/>
    <col min="8202" max="8202" width="6.85546875" style="29" customWidth="1"/>
    <col min="8203" max="8203" width="24.85546875" style="29" customWidth="1"/>
    <col min="8204" max="8204" width="18.85546875" style="29" bestFit="1" customWidth="1"/>
    <col min="8205" max="8219" width="0" style="29" hidden="1" customWidth="1"/>
    <col min="8220" max="8221" width="18.85546875" style="29" bestFit="1" customWidth="1"/>
    <col min="8222" max="8228" width="0" style="29" hidden="1" customWidth="1"/>
    <col min="8229" max="8229" width="17" style="29" customWidth="1"/>
    <col min="8230" max="8231" width="13.5703125" style="29" customWidth="1"/>
    <col min="8232" max="8232" width="14.7109375" style="29" customWidth="1"/>
    <col min="8233" max="8233" width="13.5703125" style="29" customWidth="1"/>
    <col min="8234" max="8234" width="14" style="29" customWidth="1"/>
    <col min="8235" max="8236" width="13.5703125" style="29" customWidth="1"/>
    <col min="8237" max="8237" width="13.28515625" style="29" customWidth="1"/>
    <col min="8238" max="8242" width="0" style="29" hidden="1" customWidth="1"/>
    <col min="8243" max="8243" width="9" style="29" customWidth="1"/>
    <col min="8244" max="8244" width="17.7109375" style="29" customWidth="1"/>
    <col min="8245" max="8245" width="15" style="29" customWidth="1"/>
    <col min="8246" max="8246" width="17.28515625" style="29" customWidth="1"/>
    <col min="8247" max="8448" width="6.85546875" style="29"/>
    <col min="8449" max="8449" width="7.85546875" style="29" customWidth="1"/>
    <col min="8450" max="8450" width="0" style="29" hidden="1" customWidth="1"/>
    <col min="8451" max="8451" width="7.42578125" style="29" customWidth="1"/>
    <col min="8452" max="8452" width="1.42578125" style="29" customWidth="1"/>
    <col min="8453" max="8453" width="3.5703125" style="29" customWidth="1"/>
    <col min="8454" max="8455" width="0" style="29" hidden="1" customWidth="1"/>
    <col min="8456" max="8457" width="1.7109375" style="29" customWidth="1"/>
    <col min="8458" max="8458" width="6.85546875" style="29" customWidth="1"/>
    <col min="8459" max="8459" width="24.85546875" style="29" customWidth="1"/>
    <col min="8460" max="8460" width="18.85546875" style="29" bestFit="1" customWidth="1"/>
    <col min="8461" max="8475" width="0" style="29" hidden="1" customWidth="1"/>
    <col min="8476" max="8477" width="18.85546875" style="29" bestFit="1" customWidth="1"/>
    <col min="8478" max="8484" width="0" style="29" hidden="1" customWidth="1"/>
    <col min="8485" max="8485" width="17" style="29" customWidth="1"/>
    <col min="8486" max="8487" width="13.5703125" style="29" customWidth="1"/>
    <col min="8488" max="8488" width="14.7109375" style="29" customWidth="1"/>
    <col min="8489" max="8489" width="13.5703125" style="29" customWidth="1"/>
    <col min="8490" max="8490" width="14" style="29" customWidth="1"/>
    <col min="8491" max="8492" width="13.5703125" style="29" customWidth="1"/>
    <col min="8493" max="8493" width="13.28515625" style="29" customWidth="1"/>
    <col min="8494" max="8498" width="0" style="29" hidden="1" customWidth="1"/>
    <col min="8499" max="8499" width="9" style="29" customWidth="1"/>
    <col min="8500" max="8500" width="17.7109375" style="29" customWidth="1"/>
    <col min="8501" max="8501" width="15" style="29" customWidth="1"/>
    <col min="8502" max="8502" width="17.28515625" style="29" customWidth="1"/>
    <col min="8503" max="8704" width="6.85546875" style="29"/>
    <col min="8705" max="8705" width="7.85546875" style="29" customWidth="1"/>
    <col min="8706" max="8706" width="0" style="29" hidden="1" customWidth="1"/>
    <col min="8707" max="8707" width="7.42578125" style="29" customWidth="1"/>
    <col min="8708" max="8708" width="1.42578125" style="29" customWidth="1"/>
    <col min="8709" max="8709" width="3.5703125" style="29" customWidth="1"/>
    <col min="8710" max="8711" width="0" style="29" hidden="1" customWidth="1"/>
    <col min="8712" max="8713" width="1.7109375" style="29" customWidth="1"/>
    <col min="8714" max="8714" width="6.85546875" style="29" customWidth="1"/>
    <col min="8715" max="8715" width="24.85546875" style="29" customWidth="1"/>
    <col min="8716" max="8716" width="18.85546875" style="29" bestFit="1" customWidth="1"/>
    <col min="8717" max="8731" width="0" style="29" hidden="1" customWidth="1"/>
    <col min="8732" max="8733" width="18.85546875" style="29" bestFit="1" customWidth="1"/>
    <col min="8734" max="8740" width="0" style="29" hidden="1" customWidth="1"/>
    <col min="8741" max="8741" width="17" style="29" customWidth="1"/>
    <col min="8742" max="8743" width="13.5703125" style="29" customWidth="1"/>
    <col min="8744" max="8744" width="14.7109375" style="29" customWidth="1"/>
    <col min="8745" max="8745" width="13.5703125" style="29" customWidth="1"/>
    <col min="8746" max="8746" width="14" style="29" customWidth="1"/>
    <col min="8747" max="8748" width="13.5703125" style="29" customWidth="1"/>
    <col min="8749" max="8749" width="13.28515625" style="29" customWidth="1"/>
    <col min="8750" max="8754" width="0" style="29" hidden="1" customWidth="1"/>
    <col min="8755" max="8755" width="9" style="29" customWidth="1"/>
    <col min="8756" max="8756" width="17.7109375" style="29" customWidth="1"/>
    <col min="8757" max="8757" width="15" style="29" customWidth="1"/>
    <col min="8758" max="8758" width="17.28515625" style="29" customWidth="1"/>
    <col min="8759" max="8960" width="6.85546875" style="29"/>
    <col min="8961" max="8961" width="7.85546875" style="29" customWidth="1"/>
    <col min="8962" max="8962" width="0" style="29" hidden="1" customWidth="1"/>
    <col min="8963" max="8963" width="7.42578125" style="29" customWidth="1"/>
    <col min="8964" max="8964" width="1.42578125" style="29" customWidth="1"/>
    <col min="8965" max="8965" width="3.5703125" style="29" customWidth="1"/>
    <col min="8966" max="8967" width="0" style="29" hidden="1" customWidth="1"/>
    <col min="8968" max="8969" width="1.7109375" style="29" customWidth="1"/>
    <col min="8970" max="8970" width="6.85546875" style="29" customWidth="1"/>
    <col min="8971" max="8971" width="24.85546875" style="29" customWidth="1"/>
    <col min="8972" max="8972" width="18.85546875" style="29" bestFit="1" customWidth="1"/>
    <col min="8973" max="8987" width="0" style="29" hidden="1" customWidth="1"/>
    <col min="8988" max="8989" width="18.85546875" style="29" bestFit="1" customWidth="1"/>
    <col min="8990" max="8996" width="0" style="29" hidden="1" customWidth="1"/>
    <col min="8997" max="8997" width="17" style="29" customWidth="1"/>
    <col min="8998" max="8999" width="13.5703125" style="29" customWidth="1"/>
    <col min="9000" max="9000" width="14.7109375" style="29" customWidth="1"/>
    <col min="9001" max="9001" width="13.5703125" style="29" customWidth="1"/>
    <col min="9002" max="9002" width="14" style="29" customWidth="1"/>
    <col min="9003" max="9004" width="13.5703125" style="29" customWidth="1"/>
    <col min="9005" max="9005" width="13.28515625" style="29" customWidth="1"/>
    <col min="9006" max="9010" width="0" style="29" hidden="1" customWidth="1"/>
    <col min="9011" max="9011" width="9" style="29" customWidth="1"/>
    <col min="9012" max="9012" width="17.7109375" style="29" customWidth="1"/>
    <col min="9013" max="9013" width="15" style="29" customWidth="1"/>
    <col min="9014" max="9014" width="17.28515625" style="29" customWidth="1"/>
    <col min="9015" max="9216" width="6.85546875" style="29"/>
    <col min="9217" max="9217" width="7.85546875" style="29" customWidth="1"/>
    <col min="9218" max="9218" width="0" style="29" hidden="1" customWidth="1"/>
    <col min="9219" max="9219" width="7.42578125" style="29" customWidth="1"/>
    <col min="9220" max="9220" width="1.42578125" style="29" customWidth="1"/>
    <col min="9221" max="9221" width="3.5703125" style="29" customWidth="1"/>
    <col min="9222" max="9223" width="0" style="29" hidden="1" customWidth="1"/>
    <col min="9224" max="9225" width="1.7109375" style="29" customWidth="1"/>
    <col min="9226" max="9226" width="6.85546875" style="29" customWidth="1"/>
    <col min="9227" max="9227" width="24.85546875" style="29" customWidth="1"/>
    <col min="9228" max="9228" width="18.85546875" style="29" bestFit="1" customWidth="1"/>
    <col min="9229" max="9243" width="0" style="29" hidden="1" customWidth="1"/>
    <col min="9244" max="9245" width="18.85546875" style="29" bestFit="1" customWidth="1"/>
    <col min="9246" max="9252" width="0" style="29" hidden="1" customWidth="1"/>
    <col min="9253" max="9253" width="17" style="29" customWidth="1"/>
    <col min="9254" max="9255" width="13.5703125" style="29" customWidth="1"/>
    <col min="9256" max="9256" width="14.7109375" style="29" customWidth="1"/>
    <col min="9257" max="9257" width="13.5703125" style="29" customWidth="1"/>
    <col min="9258" max="9258" width="14" style="29" customWidth="1"/>
    <col min="9259" max="9260" width="13.5703125" style="29" customWidth="1"/>
    <col min="9261" max="9261" width="13.28515625" style="29" customWidth="1"/>
    <col min="9262" max="9266" width="0" style="29" hidden="1" customWidth="1"/>
    <col min="9267" max="9267" width="9" style="29" customWidth="1"/>
    <col min="9268" max="9268" width="17.7109375" style="29" customWidth="1"/>
    <col min="9269" max="9269" width="15" style="29" customWidth="1"/>
    <col min="9270" max="9270" width="17.28515625" style="29" customWidth="1"/>
    <col min="9271" max="9472" width="6.85546875" style="29"/>
    <col min="9473" max="9473" width="7.85546875" style="29" customWidth="1"/>
    <col min="9474" max="9474" width="0" style="29" hidden="1" customWidth="1"/>
    <col min="9475" max="9475" width="7.42578125" style="29" customWidth="1"/>
    <col min="9476" max="9476" width="1.42578125" style="29" customWidth="1"/>
    <col min="9477" max="9477" width="3.5703125" style="29" customWidth="1"/>
    <col min="9478" max="9479" width="0" style="29" hidden="1" customWidth="1"/>
    <col min="9480" max="9481" width="1.7109375" style="29" customWidth="1"/>
    <col min="9482" max="9482" width="6.85546875" style="29" customWidth="1"/>
    <col min="9483" max="9483" width="24.85546875" style="29" customWidth="1"/>
    <col min="9484" max="9484" width="18.85546875" style="29" bestFit="1" customWidth="1"/>
    <col min="9485" max="9499" width="0" style="29" hidden="1" customWidth="1"/>
    <col min="9500" max="9501" width="18.85546875" style="29" bestFit="1" customWidth="1"/>
    <col min="9502" max="9508" width="0" style="29" hidden="1" customWidth="1"/>
    <col min="9509" max="9509" width="17" style="29" customWidth="1"/>
    <col min="9510" max="9511" width="13.5703125" style="29" customWidth="1"/>
    <col min="9512" max="9512" width="14.7109375" style="29" customWidth="1"/>
    <col min="9513" max="9513" width="13.5703125" style="29" customWidth="1"/>
    <col min="9514" max="9514" width="14" style="29" customWidth="1"/>
    <col min="9515" max="9516" width="13.5703125" style="29" customWidth="1"/>
    <col min="9517" max="9517" width="13.28515625" style="29" customWidth="1"/>
    <col min="9518" max="9522" width="0" style="29" hidden="1" customWidth="1"/>
    <col min="9523" max="9523" width="9" style="29" customWidth="1"/>
    <col min="9524" max="9524" width="17.7109375" style="29" customWidth="1"/>
    <col min="9525" max="9525" width="15" style="29" customWidth="1"/>
    <col min="9526" max="9526" width="17.28515625" style="29" customWidth="1"/>
    <col min="9527" max="9728" width="6.85546875" style="29"/>
    <col min="9729" max="9729" width="7.85546875" style="29" customWidth="1"/>
    <col min="9730" max="9730" width="0" style="29" hidden="1" customWidth="1"/>
    <col min="9731" max="9731" width="7.42578125" style="29" customWidth="1"/>
    <col min="9732" max="9732" width="1.42578125" style="29" customWidth="1"/>
    <col min="9733" max="9733" width="3.5703125" style="29" customWidth="1"/>
    <col min="9734" max="9735" width="0" style="29" hidden="1" customWidth="1"/>
    <col min="9736" max="9737" width="1.7109375" style="29" customWidth="1"/>
    <col min="9738" max="9738" width="6.85546875" style="29" customWidth="1"/>
    <col min="9739" max="9739" width="24.85546875" style="29" customWidth="1"/>
    <col min="9740" max="9740" width="18.85546875" style="29" bestFit="1" customWidth="1"/>
    <col min="9741" max="9755" width="0" style="29" hidden="1" customWidth="1"/>
    <col min="9756" max="9757" width="18.85546875" style="29" bestFit="1" customWidth="1"/>
    <col min="9758" max="9764" width="0" style="29" hidden="1" customWidth="1"/>
    <col min="9765" max="9765" width="17" style="29" customWidth="1"/>
    <col min="9766" max="9767" width="13.5703125" style="29" customWidth="1"/>
    <col min="9768" max="9768" width="14.7109375" style="29" customWidth="1"/>
    <col min="9769" max="9769" width="13.5703125" style="29" customWidth="1"/>
    <col min="9770" max="9770" width="14" style="29" customWidth="1"/>
    <col min="9771" max="9772" width="13.5703125" style="29" customWidth="1"/>
    <col min="9773" max="9773" width="13.28515625" style="29" customWidth="1"/>
    <col min="9774" max="9778" width="0" style="29" hidden="1" customWidth="1"/>
    <col min="9779" max="9779" width="9" style="29" customWidth="1"/>
    <col min="9780" max="9780" width="17.7109375" style="29" customWidth="1"/>
    <col min="9781" max="9781" width="15" style="29" customWidth="1"/>
    <col min="9782" max="9782" width="17.28515625" style="29" customWidth="1"/>
    <col min="9783" max="9984" width="6.85546875" style="29"/>
    <col min="9985" max="9985" width="7.85546875" style="29" customWidth="1"/>
    <col min="9986" max="9986" width="0" style="29" hidden="1" customWidth="1"/>
    <col min="9987" max="9987" width="7.42578125" style="29" customWidth="1"/>
    <col min="9988" max="9988" width="1.42578125" style="29" customWidth="1"/>
    <col min="9989" max="9989" width="3.5703125" style="29" customWidth="1"/>
    <col min="9990" max="9991" width="0" style="29" hidden="1" customWidth="1"/>
    <col min="9992" max="9993" width="1.7109375" style="29" customWidth="1"/>
    <col min="9994" max="9994" width="6.85546875" style="29" customWidth="1"/>
    <col min="9995" max="9995" width="24.85546875" style="29" customWidth="1"/>
    <col min="9996" max="9996" width="18.85546875" style="29" bestFit="1" customWidth="1"/>
    <col min="9997" max="10011" width="0" style="29" hidden="1" customWidth="1"/>
    <col min="10012" max="10013" width="18.85546875" style="29" bestFit="1" customWidth="1"/>
    <col min="10014" max="10020" width="0" style="29" hidden="1" customWidth="1"/>
    <col min="10021" max="10021" width="17" style="29" customWidth="1"/>
    <col min="10022" max="10023" width="13.5703125" style="29" customWidth="1"/>
    <col min="10024" max="10024" width="14.7109375" style="29" customWidth="1"/>
    <col min="10025" max="10025" width="13.5703125" style="29" customWidth="1"/>
    <col min="10026" max="10026" width="14" style="29" customWidth="1"/>
    <col min="10027" max="10028" width="13.5703125" style="29" customWidth="1"/>
    <col min="10029" max="10029" width="13.28515625" style="29" customWidth="1"/>
    <col min="10030" max="10034" width="0" style="29" hidden="1" customWidth="1"/>
    <col min="10035" max="10035" width="9" style="29" customWidth="1"/>
    <col min="10036" max="10036" width="17.7109375" style="29" customWidth="1"/>
    <col min="10037" max="10037" width="15" style="29" customWidth="1"/>
    <col min="10038" max="10038" width="17.28515625" style="29" customWidth="1"/>
    <col min="10039" max="10240" width="6.85546875" style="29"/>
    <col min="10241" max="10241" width="7.85546875" style="29" customWidth="1"/>
    <col min="10242" max="10242" width="0" style="29" hidden="1" customWidth="1"/>
    <col min="10243" max="10243" width="7.42578125" style="29" customWidth="1"/>
    <col min="10244" max="10244" width="1.42578125" style="29" customWidth="1"/>
    <col min="10245" max="10245" width="3.5703125" style="29" customWidth="1"/>
    <col min="10246" max="10247" width="0" style="29" hidden="1" customWidth="1"/>
    <col min="10248" max="10249" width="1.7109375" style="29" customWidth="1"/>
    <col min="10250" max="10250" width="6.85546875" style="29" customWidth="1"/>
    <col min="10251" max="10251" width="24.85546875" style="29" customWidth="1"/>
    <col min="10252" max="10252" width="18.85546875" style="29" bestFit="1" customWidth="1"/>
    <col min="10253" max="10267" width="0" style="29" hidden="1" customWidth="1"/>
    <col min="10268" max="10269" width="18.85546875" style="29" bestFit="1" customWidth="1"/>
    <col min="10270" max="10276" width="0" style="29" hidden="1" customWidth="1"/>
    <col min="10277" max="10277" width="17" style="29" customWidth="1"/>
    <col min="10278" max="10279" width="13.5703125" style="29" customWidth="1"/>
    <col min="10280" max="10280" width="14.7109375" style="29" customWidth="1"/>
    <col min="10281" max="10281" width="13.5703125" style="29" customWidth="1"/>
    <col min="10282" max="10282" width="14" style="29" customWidth="1"/>
    <col min="10283" max="10284" width="13.5703125" style="29" customWidth="1"/>
    <col min="10285" max="10285" width="13.28515625" style="29" customWidth="1"/>
    <col min="10286" max="10290" width="0" style="29" hidden="1" customWidth="1"/>
    <col min="10291" max="10291" width="9" style="29" customWidth="1"/>
    <col min="10292" max="10292" width="17.7109375" style="29" customWidth="1"/>
    <col min="10293" max="10293" width="15" style="29" customWidth="1"/>
    <col min="10294" max="10294" width="17.28515625" style="29" customWidth="1"/>
    <col min="10295" max="10496" width="6.85546875" style="29"/>
    <col min="10497" max="10497" width="7.85546875" style="29" customWidth="1"/>
    <col min="10498" max="10498" width="0" style="29" hidden="1" customWidth="1"/>
    <col min="10499" max="10499" width="7.42578125" style="29" customWidth="1"/>
    <col min="10500" max="10500" width="1.42578125" style="29" customWidth="1"/>
    <col min="10501" max="10501" width="3.5703125" style="29" customWidth="1"/>
    <col min="10502" max="10503" width="0" style="29" hidden="1" customWidth="1"/>
    <col min="10504" max="10505" width="1.7109375" style="29" customWidth="1"/>
    <col min="10506" max="10506" width="6.85546875" style="29" customWidth="1"/>
    <col min="10507" max="10507" width="24.85546875" style="29" customWidth="1"/>
    <col min="10508" max="10508" width="18.85546875" style="29" bestFit="1" customWidth="1"/>
    <col min="10509" max="10523" width="0" style="29" hidden="1" customWidth="1"/>
    <col min="10524" max="10525" width="18.85546875" style="29" bestFit="1" customWidth="1"/>
    <col min="10526" max="10532" width="0" style="29" hidden="1" customWidth="1"/>
    <col min="10533" max="10533" width="17" style="29" customWidth="1"/>
    <col min="10534" max="10535" width="13.5703125" style="29" customWidth="1"/>
    <col min="10536" max="10536" width="14.7109375" style="29" customWidth="1"/>
    <col min="10537" max="10537" width="13.5703125" style="29" customWidth="1"/>
    <col min="10538" max="10538" width="14" style="29" customWidth="1"/>
    <col min="10539" max="10540" width="13.5703125" style="29" customWidth="1"/>
    <col min="10541" max="10541" width="13.28515625" style="29" customWidth="1"/>
    <col min="10542" max="10546" width="0" style="29" hidden="1" customWidth="1"/>
    <col min="10547" max="10547" width="9" style="29" customWidth="1"/>
    <col min="10548" max="10548" width="17.7109375" style="29" customWidth="1"/>
    <col min="10549" max="10549" width="15" style="29" customWidth="1"/>
    <col min="10550" max="10550" width="17.28515625" style="29" customWidth="1"/>
    <col min="10551" max="10752" width="6.85546875" style="29"/>
    <col min="10753" max="10753" width="7.85546875" style="29" customWidth="1"/>
    <col min="10754" max="10754" width="0" style="29" hidden="1" customWidth="1"/>
    <col min="10755" max="10755" width="7.42578125" style="29" customWidth="1"/>
    <col min="10756" max="10756" width="1.42578125" style="29" customWidth="1"/>
    <col min="10757" max="10757" width="3.5703125" style="29" customWidth="1"/>
    <col min="10758" max="10759" width="0" style="29" hidden="1" customWidth="1"/>
    <col min="10760" max="10761" width="1.7109375" style="29" customWidth="1"/>
    <col min="10762" max="10762" width="6.85546875" style="29" customWidth="1"/>
    <col min="10763" max="10763" width="24.85546875" style="29" customWidth="1"/>
    <col min="10764" max="10764" width="18.85546875" style="29" bestFit="1" customWidth="1"/>
    <col min="10765" max="10779" width="0" style="29" hidden="1" customWidth="1"/>
    <col min="10780" max="10781" width="18.85546875" style="29" bestFit="1" customWidth="1"/>
    <col min="10782" max="10788" width="0" style="29" hidden="1" customWidth="1"/>
    <col min="10789" max="10789" width="17" style="29" customWidth="1"/>
    <col min="10790" max="10791" width="13.5703125" style="29" customWidth="1"/>
    <col min="10792" max="10792" width="14.7109375" style="29" customWidth="1"/>
    <col min="10793" max="10793" width="13.5703125" style="29" customWidth="1"/>
    <col min="10794" max="10794" width="14" style="29" customWidth="1"/>
    <col min="10795" max="10796" width="13.5703125" style="29" customWidth="1"/>
    <col min="10797" max="10797" width="13.28515625" style="29" customWidth="1"/>
    <col min="10798" max="10802" width="0" style="29" hidden="1" customWidth="1"/>
    <col min="10803" max="10803" width="9" style="29" customWidth="1"/>
    <col min="10804" max="10804" width="17.7109375" style="29" customWidth="1"/>
    <col min="10805" max="10805" width="15" style="29" customWidth="1"/>
    <col min="10806" max="10806" width="17.28515625" style="29" customWidth="1"/>
    <col min="10807" max="11008" width="6.85546875" style="29"/>
    <col min="11009" max="11009" width="7.85546875" style="29" customWidth="1"/>
    <col min="11010" max="11010" width="0" style="29" hidden="1" customWidth="1"/>
    <col min="11011" max="11011" width="7.42578125" style="29" customWidth="1"/>
    <col min="11012" max="11012" width="1.42578125" style="29" customWidth="1"/>
    <col min="11013" max="11013" width="3.5703125" style="29" customWidth="1"/>
    <col min="11014" max="11015" width="0" style="29" hidden="1" customWidth="1"/>
    <col min="11016" max="11017" width="1.7109375" style="29" customWidth="1"/>
    <col min="11018" max="11018" width="6.85546875" style="29" customWidth="1"/>
    <col min="11019" max="11019" width="24.85546875" style="29" customWidth="1"/>
    <col min="11020" max="11020" width="18.85546875" style="29" bestFit="1" customWidth="1"/>
    <col min="11021" max="11035" width="0" style="29" hidden="1" customWidth="1"/>
    <col min="11036" max="11037" width="18.85546875" style="29" bestFit="1" customWidth="1"/>
    <col min="11038" max="11044" width="0" style="29" hidden="1" customWidth="1"/>
    <col min="11045" max="11045" width="17" style="29" customWidth="1"/>
    <col min="11046" max="11047" width="13.5703125" style="29" customWidth="1"/>
    <col min="11048" max="11048" width="14.7109375" style="29" customWidth="1"/>
    <col min="11049" max="11049" width="13.5703125" style="29" customWidth="1"/>
    <col min="11050" max="11050" width="14" style="29" customWidth="1"/>
    <col min="11051" max="11052" width="13.5703125" style="29" customWidth="1"/>
    <col min="11053" max="11053" width="13.28515625" style="29" customWidth="1"/>
    <col min="11054" max="11058" width="0" style="29" hidden="1" customWidth="1"/>
    <col min="11059" max="11059" width="9" style="29" customWidth="1"/>
    <col min="11060" max="11060" width="17.7109375" style="29" customWidth="1"/>
    <col min="11061" max="11061" width="15" style="29" customWidth="1"/>
    <col min="11062" max="11062" width="17.28515625" style="29" customWidth="1"/>
    <col min="11063" max="11264" width="6.85546875" style="29"/>
    <col min="11265" max="11265" width="7.85546875" style="29" customWidth="1"/>
    <col min="11266" max="11266" width="0" style="29" hidden="1" customWidth="1"/>
    <col min="11267" max="11267" width="7.42578125" style="29" customWidth="1"/>
    <col min="11268" max="11268" width="1.42578125" style="29" customWidth="1"/>
    <col min="11269" max="11269" width="3.5703125" style="29" customWidth="1"/>
    <col min="11270" max="11271" width="0" style="29" hidden="1" customWidth="1"/>
    <col min="11272" max="11273" width="1.7109375" style="29" customWidth="1"/>
    <col min="11274" max="11274" width="6.85546875" style="29" customWidth="1"/>
    <col min="11275" max="11275" width="24.85546875" style="29" customWidth="1"/>
    <col min="11276" max="11276" width="18.85546875" style="29" bestFit="1" customWidth="1"/>
    <col min="11277" max="11291" width="0" style="29" hidden="1" customWidth="1"/>
    <col min="11292" max="11293" width="18.85546875" style="29" bestFit="1" customWidth="1"/>
    <col min="11294" max="11300" width="0" style="29" hidden="1" customWidth="1"/>
    <col min="11301" max="11301" width="17" style="29" customWidth="1"/>
    <col min="11302" max="11303" width="13.5703125" style="29" customWidth="1"/>
    <col min="11304" max="11304" width="14.7109375" style="29" customWidth="1"/>
    <col min="11305" max="11305" width="13.5703125" style="29" customWidth="1"/>
    <col min="11306" max="11306" width="14" style="29" customWidth="1"/>
    <col min="11307" max="11308" width="13.5703125" style="29" customWidth="1"/>
    <col min="11309" max="11309" width="13.28515625" style="29" customWidth="1"/>
    <col min="11310" max="11314" width="0" style="29" hidden="1" customWidth="1"/>
    <col min="11315" max="11315" width="9" style="29" customWidth="1"/>
    <col min="11316" max="11316" width="17.7109375" style="29" customWidth="1"/>
    <col min="11317" max="11317" width="15" style="29" customWidth="1"/>
    <col min="11318" max="11318" width="17.28515625" style="29" customWidth="1"/>
    <col min="11319" max="11520" width="6.85546875" style="29"/>
    <col min="11521" max="11521" width="7.85546875" style="29" customWidth="1"/>
    <col min="11522" max="11522" width="0" style="29" hidden="1" customWidth="1"/>
    <col min="11523" max="11523" width="7.42578125" style="29" customWidth="1"/>
    <col min="11524" max="11524" width="1.42578125" style="29" customWidth="1"/>
    <col min="11525" max="11525" width="3.5703125" style="29" customWidth="1"/>
    <col min="11526" max="11527" width="0" style="29" hidden="1" customWidth="1"/>
    <col min="11528" max="11529" width="1.7109375" style="29" customWidth="1"/>
    <col min="11530" max="11530" width="6.85546875" style="29" customWidth="1"/>
    <col min="11531" max="11531" width="24.85546875" style="29" customWidth="1"/>
    <col min="11532" max="11532" width="18.85546875" style="29" bestFit="1" customWidth="1"/>
    <col min="11533" max="11547" width="0" style="29" hidden="1" customWidth="1"/>
    <col min="11548" max="11549" width="18.85546875" style="29" bestFit="1" customWidth="1"/>
    <col min="11550" max="11556" width="0" style="29" hidden="1" customWidth="1"/>
    <col min="11557" max="11557" width="17" style="29" customWidth="1"/>
    <col min="11558" max="11559" width="13.5703125" style="29" customWidth="1"/>
    <col min="11560" max="11560" width="14.7109375" style="29" customWidth="1"/>
    <col min="11561" max="11561" width="13.5703125" style="29" customWidth="1"/>
    <col min="11562" max="11562" width="14" style="29" customWidth="1"/>
    <col min="11563" max="11564" width="13.5703125" style="29" customWidth="1"/>
    <col min="11565" max="11565" width="13.28515625" style="29" customWidth="1"/>
    <col min="11566" max="11570" width="0" style="29" hidden="1" customWidth="1"/>
    <col min="11571" max="11571" width="9" style="29" customWidth="1"/>
    <col min="11572" max="11572" width="17.7109375" style="29" customWidth="1"/>
    <col min="11573" max="11573" width="15" style="29" customWidth="1"/>
    <col min="11574" max="11574" width="17.28515625" style="29" customWidth="1"/>
    <col min="11575" max="11776" width="6.85546875" style="29"/>
    <col min="11777" max="11777" width="7.85546875" style="29" customWidth="1"/>
    <col min="11778" max="11778" width="0" style="29" hidden="1" customWidth="1"/>
    <col min="11779" max="11779" width="7.42578125" style="29" customWidth="1"/>
    <col min="11780" max="11780" width="1.42578125" style="29" customWidth="1"/>
    <col min="11781" max="11781" width="3.5703125" style="29" customWidth="1"/>
    <col min="11782" max="11783" width="0" style="29" hidden="1" customWidth="1"/>
    <col min="11784" max="11785" width="1.7109375" style="29" customWidth="1"/>
    <col min="11786" max="11786" width="6.85546875" style="29" customWidth="1"/>
    <col min="11787" max="11787" width="24.85546875" style="29" customWidth="1"/>
    <col min="11788" max="11788" width="18.85546875" style="29" bestFit="1" customWidth="1"/>
    <col min="11789" max="11803" width="0" style="29" hidden="1" customWidth="1"/>
    <col min="11804" max="11805" width="18.85546875" style="29" bestFit="1" customWidth="1"/>
    <col min="11806" max="11812" width="0" style="29" hidden="1" customWidth="1"/>
    <col min="11813" max="11813" width="17" style="29" customWidth="1"/>
    <col min="11814" max="11815" width="13.5703125" style="29" customWidth="1"/>
    <col min="11816" max="11816" width="14.7109375" style="29" customWidth="1"/>
    <col min="11817" max="11817" width="13.5703125" style="29" customWidth="1"/>
    <col min="11818" max="11818" width="14" style="29" customWidth="1"/>
    <col min="11819" max="11820" width="13.5703125" style="29" customWidth="1"/>
    <col min="11821" max="11821" width="13.28515625" style="29" customWidth="1"/>
    <col min="11822" max="11826" width="0" style="29" hidden="1" customWidth="1"/>
    <col min="11827" max="11827" width="9" style="29" customWidth="1"/>
    <col min="11828" max="11828" width="17.7109375" style="29" customWidth="1"/>
    <col min="11829" max="11829" width="15" style="29" customWidth="1"/>
    <col min="11830" max="11830" width="17.28515625" style="29" customWidth="1"/>
    <col min="11831" max="12032" width="6.85546875" style="29"/>
    <col min="12033" max="12033" width="7.85546875" style="29" customWidth="1"/>
    <col min="12034" max="12034" width="0" style="29" hidden="1" customWidth="1"/>
    <col min="12035" max="12035" width="7.42578125" style="29" customWidth="1"/>
    <col min="12036" max="12036" width="1.42578125" style="29" customWidth="1"/>
    <col min="12037" max="12037" width="3.5703125" style="29" customWidth="1"/>
    <col min="12038" max="12039" width="0" style="29" hidden="1" customWidth="1"/>
    <col min="12040" max="12041" width="1.7109375" style="29" customWidth="1"/>
    <col min="12042" max="12042" width="6.85546875" style="29" customWidth="1"/>
    <col min="12043" max="12043" width="24.85546875" style="29" customWidth="1"/>
    <col min="12044" max="12044" width="18.85546875" style="29" bestFit="1" customWidth="1"/>
    <col min="12045" max="12059" width="0" style="29" hidden="1" customWidth="1"/>
    <col min="12060" max="12061" width="18.85546875" style="29" bestFit="1" customWidth="1"/>
    <col min="12062" max="12068" width="0" style="29" hidden="1" customWidth="1"/>
    <col min="12069" max="12069" width="17" style="29" customWidth="1"/>
    <col min="12070" max="12071" width="13.5703125" style="29" customWidth="1"/>
    <col min="12072" max="12072" width="14.7109375" style="29" customWidth="1"/>
    <col min="12073" max="12073" width="13.5703125" style="29" customWidth="1"/>
    <col min="12074" max="12074" width="14" style="29" customWidth="1"/>
    <col min="12075" max="12076" width="13.5703125" style="29" customWidth="1"/>
    <col min="12077" max="12077" width="13.28515625" style="29" customWidth="1"/>
    <col min="12078" max="12082" width="0" style="29" hidden="1" customWidth="1"/>
    <col min="12083" max="12083" width="9" style="29" customWidth="1"/>
    <col min="12084" max="12084" width="17.7109375" style="29" customWidth="1"/>
    <col min="12085" max="12085" width="15" style="29" customWidth="1"/>
    <col min="12086" max="12086" width="17.28515625" style="29" customWidth="1"/>
    <col min="12087" max="12288" width="6.85546875" style="29"/>
    <col min="12289" max="12289" width="7.85546875" style="29" customWidth="1"/>
    <col min="12290" max="12290" width="0" style="29" hidden="1" customWidth="1"/>
    <col min="12291" max="12291" width="7.42578125" style="29" customWidth="1"/>
    <col min="12292" max="12292" width="1.42578125" style="29" customWidth="1"/>
    <col min="12293" max="12293" width="3.5703125" style="29" customWidth="1"/>
    <col min="12294" max="12295" width="0" style="29" hidden="1" customWidth="1"/>
    <col min="12296" max="12297" width="1.7109375" style="29" customWidth="1"/>
    <col min="12298" max="12298" width="6.85546875" style="29" customWidth="1"/>
    <col min="12299" max="12299" width="24.85546875" style="29" customWidth="1"/>
    <col min="12300" max="12300" width="18.85546875" style="29" bestFit="1" customWidth="1"/>
    <col min="12301" max="12315" width="0" style="29" hidden="1" customWidth="1"/>
    <col min="12316" max="12317" width="18.85546875" style="29" bestFit="1" customWidth="1"/>
    <col min="12318" max="12324" width="0" style="29" hidden="1" customWidth="1"/>
    <col min="12325" max="12325" width="17" style="29" customWidth="1"/>
    <col min="12326" max="12327" width="13.5703125" style="29" customWidth="1"/>
    <col min="12328" max="12328" width="14.7109375" style="29" customWidth="1"/>
    <col min="12329" max="12329" width="13.5703125" style="29" customWidth="1"/>
    <col min="12330" max="12330" width="14" style="29" customWidth="1"/>
    <col min="12331" max="12332" width="13.5703125" style="29" customWidth="1"/>
    <col min="12333" max="12333" width="13.28515625" style="29" customWidth="1"/>
    <col min="12334" max="12338" width="0" style="29" hidden="1" customWidth="1"/>
    <col min="12339" max="12339" width="9" style="29" customWidth="1"/>
    <col min="12340" max="12340" width="17.7109375" style="29" customWidth="1"/>
    <col min="12341" max="12341" width="15" style="29" customWidth="1"/>
    <col min="12342" max="12342" width="17.28515625" style="29" customWidth="1"/>
    <col min="12343" max="12544" width="6.85546875" style="29"/>
    <col min="12545" max="12545" width="7.85546875" style="29" customWidth="1"/>
    <col min="12546" max="12546" width="0" style="29" hidden="1" customWidth="1"/>
    <col min="12547" max="12547" width="7.42578125" style="29" customWidth="1"/>
    <col min="12548" max="12548" width="1.42578125" style="29" customWidth="1"/>
    <col min="12549" max="12549" width="3.5703125" style="29" customWidth="1"/>
    <col min="12550" max="12551" width="0" style="29" hidden="1" customWidth="1"/>
    <col min="12552" max="12553" width="1.7109375" style="29" customWidth="1"/>
    <col min="12554" max="12554" width="6.85546875" style="29" customWidth="1"/>
    <col min="12555" max="12555" width="24.85546875" style="29" customWidth="1"/>
    <col min="12556" max="12556" width="18.85546875" style="29" bestFit="1" customWidth="1"/>
    <col min="12557" max="12571" width="0" style="29" hidden="1" customWidth="1"/>
    <col min="12572" max="12573" width="18.85546875" style="29" bestFit="1" customWidth="1"/>
    <col min="12574" max="12580" width="0" style="29" hidden="1" customWidth="1"/>
    <col min="12581" max="12581" width="17" style="29" customWidth="1"/>
    <col min="12582" max="12583" width="13.5703125" style="29" customWidth="1"/>
    <col min="12584" max="12584" width="14.7109375" style="29" customWidth="1"/>
    <col min="12585" max="12585" width="13.5703125" style="29" customWidth="1"/>
    <col min="12586" max="12586" width="14" style="29" customWidth="1"/>
    <col min="12587" max="12588" width="13.5703125" style="29" customWidth="1"/>
    <col min="12589" max="12589" width="13.28515625" style="29" customWidth="1"/>
    <col min="12590" max="12594" width="0" style="29" hidden="1" customWidth="1"/>
    <col min="12595" max="12595" width="9" style="29" customWidth="1"/>
    <col min="12596" max="12596" width="17.7109375" style="29" customWidth="1"/>
    <col min="12597" max="12597" width="15" style="29" customWidth="1"/>
    <col min="12598" max="12598" width="17.28515625" style="29" customWidth="1"/>
    <col min="12599" max="12800" width="6.85546875" style="29"/>
    <col min="12801" max="12801" width="7.85546875" style="29" customWidth="1"/>
    <col min="12802" max="12802" width="0" style="29" hidden="1" customWidth="1"/>
    <col min="12803" max="12803" width="7.42578125" style="29" customWidth="1"/>
    <col min="12804" max="12804" width="1.42578125" style="29" customWidth="1"/>
    <col min="12805" max="12805" width="3.5703125" style="29" customWidth="1"/>
    <col min="12806" max="12807" width="0" style="29" hidden="1" customWidth="1"/>
    <col min="12808" max="12809" width="1.7109375" style="29" customWidth="1"/>
    <col min="12810" max="12810" width="6.85546875" style="29" customWidth="1"/>
    <col min="12811" max="12811" width="24.85546875" style="29" customWidth="1"/>
    <col min="12812" max="12812" width="18.85546875" style="29" bestFit="1" customWidth="1"/>
    <col min="12813" max="12827" width="0" style="29" hidden="1" customWidth="1"/>
    <col min="12828" max="12829" width="18.85546875" style="29" bestFit="1" customWidth="1"/>
    <col min="12830" max="12836" width="0" style="29" hidden="1" customWidth="1"/>
    <col min="12837" max="12837" width="17" style="29" customWidth="1"/>
    <col min="12838" max="12839" width="13.5703125" style="29" customWidth="1"/>
    <col min="12840" max="12840" width="14.7109375" style="29" customWidth="1"/>
    <col min="12841" max="12841" width="13.5703125" style="29" customWidth="1"/>
    <col min="12842" max="12842" width="14" style="29" customWidth="1"/>
    <col min="12843" max="12844" width="13.5703125" style="29" customWidth="1"/>
    <col min="12845" max="12845" width="13.28515625" style="29" customWidth="1"/>
    <col min="12846" max="12850" width="0" style="29" hidden="1" customWidth="1"/>
    <col min="12851" max="12851" width="9" style="29" customWidth="1"/>
    <col min="12852" max="12852" width="17.7109375" style="29" customWidth="1"/>
    <col min="12853" max="12853" width="15" style="29" customWidth="1"/>
    <col min="12854" max="12854" width="17.28515625" style="29" customWidth="1"/>
    <col min="12855" max="13056" width="6.85546875" style="29"/>
    <col min="13057" max="13057" width="7.85546875" style="29" customWidth="1"/>
    <col min="13058" max="13058" width="0" style="29" hidden="1" customWidth="1"/>
    <col min="13059" max="13059" width="7.42578125" style="29" customWidth="1"/>
    <col min="13060" max="13060" width="1.42578125" style="29" customWidth="1"/>
    <col min="13061" max="13061" width="3.5703125" style="29" customWidth="1"/>
    <col min="13062" max="13063" width="0" style="29" hidden="1" customWidth="1"/>
    <col min="13064" max="13065" width="1.7109375" style="29" customWidth="1"/>
    <col min="13066" max="13066" width="6.85546875" style="29" customWidth="1"/>
    <col min="13067" max="13067" width="24.85546875" style="29" customWidth="1"/>
    <col min="13068" max="13068" width="18.85546875" style="29" bestFit="1" customWidth="1"/>
    <col min="13069" max="13083" width="0" style="29" hidden="1" customWidth="1"/>
    <col min="13084" max="13085" width="18.85546875" style="29" bestFit="1" customWidth="1"/>
    <col min="13086" max="13092" width="0" style="29" hidden="1" customWidth="1"/>
    <col min="13093" max="13093" width="17" style="29" customWidth="1"/>
    <col min="13094" max="13095" width="13.5703125" style="29" customWidth="1"/>
    <col min="13096" max="13096" width="14.7109375" style="29" customWidth="1"/>
    <col min="13097" max="13097" width="13.5703125" style="29" customWidth="1"/>
    <col min="13098" max="13098" width="14" style="29" customWidth="1"/>
    <col min="13099" max="13100" width="13.5703125" style="29" customWidth="1"/>
    <col min="13101" max="13101" width="13.28515625" style="29" customWidth="1"/>
    <col min="13102" max="13106" width="0" style="29" hidden="1" customWidth="1"/>
    <col min="13107" max="13107" width="9" style="29" customWidth="1"/>
    <col min="13108" max="13108" width="17.7109375" style="29" customWidth="1"/>
    <col min="13109" max="13109" width="15" style="29" customWidth="1"/>
    <col min="13110" max="13110" width="17.28515625" style="29" customWidth="1"/>
    <col min="13111" max="13312" width="6.85546875" style="29"/>
    <col min="13313" max="13313" width="7.85546875" style="29" customWidth="1"/>
    <col min="13314" max="13314" width="0" style="29" hidden="1" customWidth="1"/>
    <col min="13315" max="13315" width="7.42578125" style="29" customWidth="1"/>
    <col min="13316" max="13316" width="1.42578125" style="29" customWidth="1"/>
    <col min="13317" max="13317" width="3.5703125" style="29" customWidth="1"/>
    <col min="13318" max="13319" width="0" style="29" hidden="1" customWidth="1"/>
    <col min="13320" max="13321" width="1.7109375" style="29" customWidth="1"/>
    <col min="13322" max="13322" width="6.85546875" style="29" customWidth="1"/>
    <col min="13323" max="13323" width="24.85546875" style="29" customWidth="1"/>
    <col min="13324" max="13324" width="18.85546875" style="29" bestFit="1" customWidth="1"/>
    <col min="13325" max="13339" width="0" style="29" hidden="1" customWidth="1"/>
    <col min="13340" max="13341" width="18.85546875" style="29" bestFit="1" customWidth="1"/>
    <col min="13342" max="13348" width="0" style="29" hidden="1" customWidth="1"/>
    <col min="13349" max="13349" width="17" style="29" customWidth="1"/>
    <col min="13350" max="13351" width="13.5703125" style="29" customWidth="1"/>
    <col min="13352" max="13352" width="14.7109375" style="29" customWidth="1"/>
    <col min="13353" max="13353" width="13.5703125" style="29" customWidth="1"/>
    <col min="13354" max="13354" width="14" style="29" customWidth="1"/>
    <col min="13355" max="13356" width="13.5703125" style="29" customWidth="1"/>
    <col min="13357" max="13357" width="13.28515625" style="29" customWidth="1"/>
    <col min="13358" max="13362" width="0" style="29" hidden="1" customWidth="1"/>
    <col min="13363" max="13363" width="9" style="29" customWidth="1"/>
    <col min="13364" max="13364" width="17.7109375" style="29" customWidth="1"/>
    <col min="13365" max="13365" width="15" style="29" customWidth="1"/>
    <col min="13366" max="13366" width="17.28515625" style="29" customWidth="1"/>
    <col min="13367" max="13568" width="6.85546875" style="29"/>
    <col min="13569" max="13569" width="7.85546875" style="29" customWidth="1"/>
    <col min="13570" max="13570" width="0" style="29" hidden="1" customWidth="1"/>
    <col min="13571" max="13571" width="7.42578125" style="29" customWidth="1"/>
    <col min="13572" max="13572" width="1.42578125" style="29" customWidth="1"/>
    <col min="13573" max="13573" width="3.5703125" style="29" customWidth="1"/>
    <col min="13574" max="13575" width="0" style="29" hidden="1" customWidth="1"/>
    <col min="13576" max="13577" width="1.7109375" style="29" customWidth="1"/>
    <col min="13578" max="13578" width="6.85546875" style="29" customWidth="1"/>
    <col min="13579" max="13579" width="24.85546875" style="29" customWidth="1"/>
    <col min="13580" max="13580" width="18.85546875" style="29" bestFit="1" customWidth="1"/>
    <col min="13581" max="13595" width="0" style="29" hidden="1" customWidth="1"/>
    <col min="13596" max="13597" width="18.85546875" style="29" bestFit="1" customWidth="1"/>
    <col min="13598" max="13604" width="0" style="29" hidden="1" customWidth="1"/>
    <col min="13605" max="13605" width="17" style="29" customWidth="1"/>
    <col min="13606" max="13607" width="13.5703125" style="29" customWidth="1"/>
    <col min="13608" max="13608" width="14.7109375" style="29" customWidth="1"/>
    <col min="13609" max="13609" width="13.5703125" style="29" customWidth="1"/>
    <col min="13610" max="13610" width="14" style="29" customWidth="1"/>
    <col min="13611" max="13612" width="13.5703125" style="29" customWidth="1"/>
    <col min="13613" max="13613" width="13.28515625" style="29" customWidth="1"/>
    <col min="13614" max="13618" width="0" style="29" hidden="1" customWidth="1"/>
    <col min="13619" max="13619" width="9" style="29" customWidth="1"/>
    <col min="13620" max="13620" width="17.7109375" style="29" customWidth="1"/>
    <col min="13621" max="13621" width="15" style="29" customWidth="1"/>
    <col min="13622" max="13622" width="17.28515625" style="29" customWidth="1"/>
    <col min="13623" max="13824" width="6.85546875" style="29"/>
    <col min="13825" max="13825" width="7.85546875" style="29" customWidth="1"/>
    <col min="13826" max="13826" width="0" style="29" hidden="1" customWidth="1"/>
    <col min="13827" max="13827" width="7.42578125" style="29" customWidth="1"/>
    <col min="13828" max="13828" width="1.42578125" style="29" customWidth="1"/>
    <col min="13829" max="13829" width="3.5703125" style="29" customWidth="1"/>
    <col min="13830" max="13831" width="0" style="29" hidden="1" customWidth="1"/>
    <col min="13832" max="13833" width="1.7109375" style="29" customWidth="1"/>
    <col min="13834" max="13834" width="6.85546875" style="29" customWidth="1"/>
    <col min="13835" max="13835" width="24.85546875" style="29" customWidth="1"/>
    <col min="13836" max="13836" width="18.85546875" style="29" bestFit="1" customWidth="1"/>
    <col min="13837" max="13851" width="0" style="29" hidden="1" customWidth="1"/>
    <col min="13852" max="13853" width="18.85546875" style="29" bestFit="1" customWidth="1"/>
    <col min="13854" max="13860" width="0" style="29" hidden="1" customWidth="1"/>
    <col min="13861" max="13861" width="17" style="29" customWidth="1"/>
    <col min="13862" max="13863" width="13.5703125" style="29" customWidth="1"/>
    <col min="13864" max="13864" width="14.7109375" style="29" customWidth="1"/>
    <col min="13865" max="13865" width="13.5703125" style="29" customWidth="1"/>
    <col min="13866" max="13866" width="14" style="29" customWidth="1"/>
    <col min="13867" max="13868" width="13.5703125" style="29" customWidth="1"/>
    <col min="13869" max="13869" width="13.28515625" style="29" customWidth="1"/>
    <col min="13870" max="13874" width="0" style="29" hidden="1" customWidth="1"/>
    <col min="13875" max="13875" width="9" style="29" customWidth="1"/>
    <col min="13876" max="13876" width="17.7109375" style="29" customWidth="1"/>
    <col min="13877" max="13877" width="15" style="29" customWidth="1"/>
    <col min="13878" max="13878" width="17.28515625" style="29" customWidth="1"/>
    <col min="13879" max="14080" width="6.85546875" style="29"/>
    <col min="14081" max="14081" width="7.85546875" style="29" customWidth="1"/>
    <col min="14082" max="14082" width="0" style="29" hidden="1" customWidth="1"/>
    <col min="14083" max="14083" width="7.42578125" style="29" customWidth="1"/>
    <col min="14084" max="14084" width="1.42578125" style="29" customWidth="1"/>
    <col min="14085" max="14085" width="3.5703125" style="29" customWidth="1"/>
    <col min="14086" max="14087" width="0" style="29" hidden="1" customWidth="1"/>
    <col min="14088" max="14089" width="1.7109375" style="29" customWidth="1"/>
    <col min="14090" max="14090" width="6.85546875" style="29" customWidth="1"/>
    <col min="14091" max="14091" width="24.85546875" style="29" customWidth="1"/>
    <col min="14092" max="14092" width="18.85546875" style="29" bestFit="1" customWidth="1"/>
    <col min="14093" max="14107" width="0" style="29" hidden="1" customWidth="1"/>
    <col min="14108" max="14109" width="18.85546875" style="29" bestFit="1" customWidth="1"/>
    <col min="14110" max="14116" width="0" style="29" hidden="1" customWidth="1"/>
    <col min="14117" max="14117" width="17" style="29" customWidth="1"/>
    <col min="14118" max="14119" width="13.5703125" style="29" customWidth="1"/>
    <col min="14120" max="14120" width="14.7109375" style="29" customWidth="1"/>
    <col min="14121" max="14121" width="13.5703125" style="29" customWidth="1"/>
    <col min="14122" max="14122" width="14" style="29" customWidth="1"/>
    <col min="14123" max="14124" width="13.5703125" style="29" customWidth="1"/>
    <col min="14125" max="14125" width="13.28515625" style="29" customWidth="1"/>
    <col min="14126" max="14130" width="0" style="29" hidden="1" customWidth="1"/>
    <col min="14131" max="14131" width="9" style="29" customWidth="1"/>
    <col min="14132" max="14132" width="17.7109375" style="29" customWidth="1"/>
    <col min="14133" max="14133" width="15" style="29" customWidth="1"/>
    <col min="14134" max="14134" width="17.28515625" style="29" customWidth="1"/>
    <col min="14135" max="14336" width="6.85546875" style="29"/>
    <col min="14337" max="14337" width="7.85546875" style="29" customWidth="1"/>
    <col min="14338" max="14338" width="0" style="29" hidden="1" customWidth="1"/>
    <col min="14339" max="14339" width="7.42578125" style="29" customWidth="1"/>
    <col min="14340" max="14340" width="1.42578125" style="29" customWidth="1"/>
    <col min="14341" max="14341" width="3.5703125" style="29" customWidth="1"/>
    <col min="14342" max="14343" width="0" style="29" hidden="1" customWidth="1"/>
    <col min="14344" max="14345" width="1.7109375" style="29" customWidth="1"/>
    <col min="14346" max="14346" width="6.85546875" style="29" customWidth="1"/>
    <col min="14347" max="14347" width="24.85546875" style="29" customWidth="1"/>
    <col min="14348" max="14348" width="18.85546875" style="29" bestFit="1" customWidth="1"/>
    <col min="14349" max="14363" width="0" style="29" hidden="1" customWidth="1"/>
    <col min="14364" max="14365" width="18.85546875" style="29" bestFit="1" customWidth="1"/>
    <col min="14366" max="14372" width="0" style="29" hidden="1" customWidth="1"/>
    <col min="14373" max="14373" width="17" style="29" customWidth="1"/>
    <col min="14374" max="14375" width="13.5703125" style="29" customWidth="1"/>
    <col min="14376" max="14376" width="14.7109375" style="29" customWidth="1"/>
    <col min="14377" max="14377" width="13.5703125" style="29" customWidth="1"/>
    <col min="14378" max="14378" width="14" style="29" customWidth="1"/>
    <col min="14379" max="14380" width="13.5703125" style="29" customWidth="1"/>
    <col min="14381" max="14381" width="13.28515625" style="29" customWidth="1"/>
    <col min="14382" max="14386" width="0" style="29" hidden="1" customWidth="1"/>
    <col min="14387" max="14387" width="9" style="29" customWidth="1"/>
    <col min="14388" max="14388" width="17.7109375" style="29" customWidth="1"/>
    <col min="14389" max="14389" width="15" style="29" customWidth="1"/>
    <col min="14390" max="14390" width="17.28515625" style="29" customWidth="1"/>
    <col min="14391" max="14592" width="6.85546875" style="29"/>
    <col min="14593" max="14593" width="7.85546875" style="29" customWidth="1"/>
    <col min="14594" max="14594" width="0" style="29" hidden="1" customWidth="1"/>
    <col min="14595" max="14595" width="7.42578125" style="29" customWidth="1"/>
    <col min="14596" max="14596" width="1.42578125" style="29" customWidth="1"/>
    <col min="14597" max="14597" width="3.5703125" style="29" customWidth="1"/>
    <col min="14598" max="14599" width="0" style="29" hidden="1" customWidth="1"/>
    <col min="14600" max="14601" width="1.7109375" style="29" customWidth="1"/>
    <col min="14602" max="14602" width="6.85546875" style="29" customWidth="1"/>
    <col min="14603" max="14603" width="24.85546875" style="29" customWidth="1"/>
    <col min="14604" max="14604" width="18.85546875" style="29" bestFit="1" customWidth="1"/>
    <col min="14605" max="14619" width="0" style="29" hidden="1" customWidth="1"/>
    <col min="14620" max="14621" width="18.85546875" style="29" bestFit="1" customWidth="1"/>
    <col min="14622" max="14628" width="0" style="29" hidden="1" customWidth="1"/>
    <col min="14629" max="14629" width="17" style="29" customWidth="1"/>
    <col min="14630" max="14631" width="13.5703125" style="29" customWidth="1"/>
    <col min="14632" max="14632" width="14.7109375" style="29" customWidth="1"/>
    <col min="14633" max="14633" width="13.5703125" style="29" customWidth="1"/>
    <col min="14634" max="14634" width="14" style="29" customWidth="1"/>
    <col min="14635" max="14636" width="13.5703125" style="29" customWidth="1"/>
    <col min="14637" max="14637" width="13.28515625" style="29" customWidth="1"/>
    <col min="14638" max="14642" width="0" style="29" hidden="1" customWidth="1"/>
    <col min="14643" max="14643" width="9" style="29" customWidth="1"/>
    <col min="14644" max="14644" width="17.7109375" style="29" customWidth="1"/>
    <col min="14645" max="14645" width="15" style="29" customWidth="1"/>
    <col min="14646" max="14646" width="17.28515625" style="29" customWidth="1"/>
    <col min="14647" max="14848" width="6.85546875" style="29"/>
    <col min="14849" max="14849" width="7.85546875" style="29" customWidth="1"/>
    <col min="14850" max="14850" width="0" style="29" hidden="1" customWidth="1"/>
    <col min="14851" max="14851" width="7.42578125" style="29" customWidth="1"/>
    <col min="14852" max="14852" width="1.42578125" style="29" customWidth="1"/>
    <col min="14853" max="14853" width="3.5703125" style="29" customWidth="1"/>
    <col min="14854" max="14855" width="0" style="29" hidden="1" customWidth="1"/>
    <col min="14856" max="14857" width="1.7109375" style="29" customWidth="1"/>
    <col min="14858" max="14858" width="6.85546875" style="29" customWidth="1"/>
    <col min="14859" max="14859" width="24.85546875" style="29" customWidth="1"/>
    <col min="14860" max="14860" width="18.85546875" style="29" bestFit="1" customWidth="1"/>
    <col min="14861" max="14875" width="0" style="29" hidden="1" customWidth="1"/>
    <col min="14876" max="14877" width="18.85546875" style="29" bestFit="1" customWidth="1"/>
    <col min="14878" max="14884" width="0" style="29" hidden="1" customWidth="1"/>
    <col min="14885" max="14885" width="17" style="29" customWidth="1"/>
    <col min="14886" max="14887" width="13.5703125" style="29" customWidth="1"/>
    <col min="14888" max="14888" width="14.7109375" style="29" customWidth="1"/>
    <col min="14889" max="14889" width="13.5703125" style="29" customWidth="1"/>
    <col min="14890" max="14890" width="14" style="29" customWidth="1"/>
    <col min="14891" max="14892" width="13.5703125" style="29" customWidth="1"/>
    <col min="14893" max="14893" width="13.28515625" style="29" customWidth="1"/>
    <col min="14894" max="14898" width="0" style="29" hidden="1" customWidth="1"/>
    <col min="14899" max="14899" width="9" style="29" customWidth="1"/>
    <col min="14900" max="14900" width="17.7109375" style="29" customWidth="1"/>
    <col min="14901" max="14901" width="15" style="29" customWidth="1"/>
    <col min="14902" max="14902" width="17.28515625" style="29" customWidth="1"/>
    <col min="14903" max="15104" width="6.85546875" style="29"/>
    <col min="15105" max="15105" width="7.85546875" style="29" customWidth="1"/>
    <col min="15106" max="15106" width="0" style="29" hidden="1" customWidth="1"/>
    <col min="15107" max="15107" width="7.42578125" style="29" customWidth="1"/>
    <col min="15108" max="15108" width="1.42578125" style="29" customWidth="1"/>
    <col min="15109" max="15109" width="3.5703125" style="29" customWidth="1"/>
    <col min="15110" max="15111" width="0" style="29" hidden="1" customWidth="1"/>
    <col min="15112" max="15113" width="1.7109375" style="29" customWidth="1"/>
    <col min="15114" max="15114" width="6.85546875" style="29" customWidth="1"/>
    <col min="15115" max="15115" width="24.85546875" style="29" customWidth="1"/>
    <col min="15116" max="15116" width="18.85546875" style="29" bestFit="1" customWidth="1"/>
    <col min="15117" max="15131" width="0" style="29" hidden="1" customWidth="1"/>
    <col min="15132" max="15133" width="18.85546875" style="29" bestFit="1" customWidth="1"/>
    <col min="15134" max="15140" width="0" style="29" hidden="1" customWidth="1"/>
    <col min="15141" max="15141" width="17" style="29" customWidth="1"/>
    <col min="15142" max="15143" width="13.5703125" style="29" customWidth="1"/>
    <col min="15144" max="15144" width="14.7109375" style="29" customWidth="1"/>
    <col min="15145" max="15145" width="13.5703125" style="29" customWidth="1"/>
    <col min="15146" max="15146" width="14" style="29" customWidth="1"/>
    <col min="15147" max="15148" width="13.5703125" style="29" customWidth="1"/>
    <col min="15149" max="15149" width="13.28515625" style="29" customWidth="1"/>
    <col min="15150" max="15154" width="0" style="29" hidden="1" customWidth="1"/>
    <col min="15155" max="15155" width="9" style="29" customWidth="1"/>
    <col min="15156" max="15156" width="17.7109375" style="29" customWidth="1"/>
    <col min="15157" max="15157" width="15" style="29" customWidth="1"/>
    <col min="15158" max="15158" width="17.28515625" style="29" customWidth="1"/>
    <col min="15159" max="15360" width="6.85546875" style="29"/>
    <col min="15361" max="15361" width="7.85546875" style="29" customWidth="1"/>
    <col min="15362" max="15362" width="0" style="29" hidden="1" customWidth="1"/>
    <col min="15363" max="15363" width="7.42578125" style="29" customWidth="1"/>
    <col min="15364" max="15364" width="1.42578125" style="29" customWidth="1"/>
    <col min="15365" max="15365" width="3.5703125" style="29" customWidth="1"/>
    <col min="15366" max="15367" width="0" style="29" hidden="1" customWidth="1"/>
    <col min="15368" max="15369" width="1.7109375" style="29" customWidth="1"/>
    <col min="15370" max="15370" width="6.85546875" style="29" customWidth="1"/>
    <col min="15371" max="15371" width="24.85546875" style="29" customWidth="1"/>
    <col min="15372" max="15372" width="18.85546875" style="29" bestFit="1" customWidth="1"/>
    <col min="15373" max="15387" width="0" style="29" hidden="1" customWidth="1"/>
    <col min="15388" max="15389" width="18.85546875" style="29" bestFit="1" customWidth="1"/>
    <col min="15390" max="15396" width="0" style="29" hidden="1" customWidth="1"/>
    <col min="15397" max="15397" width="17" style="29" customWidth="1"/>
    <col min="15398" max="15399" width="13.5703125" style="29" customWidth="1"/>
    <col min="15400" max="15400" width="14.7109375" style="29" customWidth="1"/>
    <col min="15401" max="15401" width="13.5703125" style="29" customWidth="1"/>
    <col min="15402" max="15402" width="14" style="29" customWidth="1"/>
    <col min="15403" max="15404" width="13.5703125" style="29" customWidth="1"/>
    <col min="15405" max="15405" width="13.28515625" style="29" customWidth="1"/>
    <col min="15406" max="15410" width="0" style="29" hidden="1" customWidth="1"/>
    <col min="15411" max="15411" width="9" style="29" customWidth="1"/>
    <col min="15412" max="15412" width="17.7109375" style="29" customWidth="1"/>
    <col min="15413" max="15413" width="15" style="29" customWidth="1"/>
    <col min="15414" max="15414" width="17.28515625" style="29" customWidth="1"/>
    <col min="15415" max="15616" width="6.85546875" style="29"/>
    <col min="15617" max="15617" width="7.85546875" style="29" customWidth="1"/>
    <col min="15618" max="15618" width="0" style="29" hidden="1" customWidth="1"/>
    <col min="15619" max="15619" width="7.42578125" style="29" customWidth="1"/>
    <col min="15620" max="15620" width="1.42578125" style="29" customWidth="1"/>
    <col min="15621" max="15621" width="3.5703125" style="29" customWidth="1"/>
    <col min="15622" max="15623" width="0" style="29" hidden="1" customWidth="1"/>
    <col min="15624" max="15625" width="1.7109375" style="29" customWidth="1"/>
    <col min="15626" max="15626" width="6.85546875" style="29" customWidth="1"/>
    <col min="15627" max="15627" width="24.85546875" style="29" customWidth="1"/>
    <col min="15628" max="15628" width="18.85546875" style="29" bestFit="1" customWidth="1"/>
    <col min="15629" max="15643" width="0" style="29" hidden="1" customWidth="1"/>
    <col min="15644" max="15645" width="18.85546875" style="29" bestFit="1" customWidth="1"/>
    <col min="15646" max="15652" width="0" style="29" hidden="1" customWidth="1"/>
    <col min="15653" max="15653" width="17" style="29" customWidth="1"/>
    <col min="15654" max="15655" width="13.5703125" style="29" customWidth="1"/>
    <col min="15656" max="15656" width="14.7109375" style="29" customWidth="1"/>
    <col min="15657" max="15657" width="13.5703125" style="29" customWidth="1"/>
    <col min="15658" max="15658" width="14" style="29" customWidth="1"/>
    <col min="15659" max="15660" width="13.5703125" style="29" customWidth="1"/>
    <col min="15661" max="15661" width="13.28515625" style="29" customWidth="1"/>
    <col min="15662" max="15666" width="0" style="29" hidden="1" customWidth="1"/>
    <col min="15667" max="15667" width="9" style="29" customWidth="1"/>
    <col min="15668" max="15668" width="17.7109375" style="29" customWidth="1"/>
    <col min="15669" max="15669" width="15" style="29" customWidth="1"/>
    <col min="15670" max="15670" width="17.28515625" style="29" customWidth="1"/>
    <col min="15671" max="15872" width="6.85546875" style="29"/>
    <col min="15873" max="15873" width="7.85546875" style="29" customWidth="1"/>
    <col min="15874" max="15874" width="0" style="29" hidden="1" customWidth="1"/>
    <col min="15875" max="15875" width="7.42578125" style="29" customWidth="1"/>
    <col min="15876" max="15876" width="1.42578125" style="29" customWidth="1"/>
    <col min="15877" max="15877" width="3.5703125" style="29" customWidth="1"/>
    <col min="15878" max="15879" width="0" style="29" hidden="1" customWidth="1"/>
    <col min="15880" max="15881" width="1.7109375" style="29" customWidth="1"/>
    <col min="15882" max="15882" width="6.85546875" style="29" customWidth="1"/>
    <col min="15883" max="15883" width="24.85546875" style="29" customWidth="1"/>
    <col min="15884" max="15884" width="18.85546875" style="29" bestFit="1" customWidth="1"/>
    <col min="15885" max="15899" width="0" style="29" hidden="1" customWidth="1"/>
    <col min="15900" max="15901" width="18.85546875" style="29" bestFit="1" customWidth="1"/>
    <col min="15902" max="15908" width="0" style="29" hidden="1" customWidth="1"/>
    <col min="15909" max="15909" width="17" style="29" customWidth="1"/>
    <col min="15910" max="15911" width="13.5703125" style="29" customWidth="1"/>
    <col min="15912" max="15912" width="14.7109375" style="29" customWidth="1"/>
    <col min="15913" max="15913" width="13.5703125" style="29" customWidth="1"/>
    <col min="15914" max="15914" width="14" style="29" customWidth="1"/>
    <col min="15915" max="15916" width="13.5703125" style="29" customWidth="1"/>
    <col min="15917" max="15917" width="13.28515625" style="29" customWidth="1"/>
    <col min="15918" max="15922" width="0" style="29" hidden="1" customWidth="1"/>
    <col min="15923" max="15923" width="9" style="29" customWidth="1"/>
    <col min="15924" max="15924" width="17.7109375" style="29" customWidth="1"/>
    <col min="15925" max="15925" width="15" style="29" customWidth="1"/>
    <col min="15926" max="15926" width="17.28515625" style="29" customWidth="1"/>
    <col min="15927" max="16128" width="6.85546875" style="29"/>
    <col min="16129" max="16129" width="7.85546875" style="29" customWidth="1"/>
    <col min="16130" max="16130" width="0" style="29" hidden="1" customWidth="1"/>
    <col min="16131" max="16131" width="7.42578125" style="29" customWidth="1"/>
    <col min="16132" max="16132" width="1.42578125" style="29" customWidth="1"/>
    <col min="16133" max="16133" width="3.5703125" style="29" customWidth="1"/>
    <col min="16134" max="16135" width="0" style="29" hidden="1" customWidth="1"/>
    <col min="16136" max="16137" width="1.7109375" style="29" customWidth="1"/>
    <col min="16138" max="16138" width="6.85546875" style="29" customWidth="1"/>
    <col min="16139" max="16139" width="24.85546875" style="29" customWidth="1"/>
    <col min="16140" max="16140" width="18.85546875" style="29" bestFit="1" customWidth="1"/>
    <col min="16141" max="16155" width="0" style="29" hidden="1" customWidth="1"/>
    <col min="16156" max="16157" width="18.85546875" style="29" bestFit="1" customWidth="1"/>
    <col min="16158" max="16164" width="0" style="29" hidden="1" customWidth="1"/>
    <col min="16165" max="16165" width="17" style="29" customWidth="1"/>
    <col min="16166" max="16167" width="13.5703125" style="29" customWidth="1"/>
    <col min="16168" max="16168" width="14.7109375" style="29" customWidth="1"/>
    <col min="16169" max="16169" width="13.5703125" style="29" customWidth="1"/>
    <col min="16170" max="16170" width="14" style="29" customWidth="1"/>
    <col min="16171" max="16172" width="13.5703125" style="29" customWidth="1"/>
    <col min="16173" max="16173" width="13.28515625" style="29" customWidth="1"/>
    <col min="16174" max="16178" width="0" style="29" hidden="1" customWidth="1"/>
    <col min="16179" max="16179" width="9" style="29" customWidth="1"/>
    <col min="16180" max="16180" width="17.7109375" style="29" customWidth="1"/>
    <col min="16181" max="16181" width="15" style="29" customWidth="1"/>
    <col min="16182" max="16182" width="17.28515625" style="29" customWidth="1"/>
    <col min="16183" max="16384" width="6.85546875" style="29"/>
  </cols>
  <sheetData>
    <row r="1" spans="1:52" ht="33.75" customHeight="1">
      <c r="A1" s="28"/>
    </row>
    <row r="2" spans="1:52" ht="3" customHeight="1">
      <c r="O2" s="29" t="s">
        <v>48</v>
      </c>
    </row>
    <row r="3" spans="1:52" ht="16.5" customHeight="1">
      <c r="D3" s="268" t="s">
        <v>49</v>
      </c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8"/>
      <c r="P3" s="268"/>
      <c r="Q3" s="268"/>
      <c r="R3" s="268"/>
      <c r="S3" s="268"/>
      <c r="T3" s="268"/>
      <c r="U3" s="268"/>
      <c r="V3" s="268"/>
      <c r="W3" s="268"/>
      <c r="X3" s="268"/>
      <c r="Y3" s="268"/>
      <c r="Z3" s="268"/>
      <c r="AA3" s="268"/>
      <c r="AB3" s="268"/>
      <c r="AC3" s="268"/>
      <c r="AD3" s="268"/>
      <c r="AE3" s="268"/>
      <c r="AF3" s="268"/>
      <c r="AG3" s="268"/>
      <c r="AH3" s="268"/>
      <c r="AI3" s="268"/>
      <c r="AJ3" s="268"/>
      <c r="AK3" s="268"/>
      <c r="AL3" s="268"/>
      <c r="AM3" s="268"/>
      <c r="AN3" s="268"/>
      <c r="AO3" s="268"/>
      <c r="AP3" s="268"/>
      <c r="AQ3" s="268"/>
      <c r="AR3" s="268"/>
      <c r="AS3" s="268"/>
      <c r="AT3" s="268"/>
      <c r="AU3" s="268"/>
      <c r="AV3" s="268"/>
      <c r="AW3" s="268"/>
      <c r="AX3" s="268"/>
      <c r="AY3" s="268"/>
    </row>
    <row r="4" spans="1:52" ht="20.25" customHeight="1">
      <c r="D4" s="269" t="s">
        <v>50</v>
      </c>
      <c r="E4" s="269"/>
      <c r="F4" s="269"/>
      <c r="G4" s="269"/>
      <c r="H4" s="269"/>
      <c r="I4" s="269"/>
      <c r="J4" s="269"/>
      <c r="K4" s="269"/>
      <c r="L4" s="269"/>
      <c r="M4" s="269"/>
      <c r="N4" s="269"/>
      <c r="O4" s="269"/>
      <c r="P4" s="269"/>
      <c r="Q4" s="269"/>
      <c r="R4" s="269"/>
      <c r="S4" s="269"/>
      <c r="T4" s="269"/>
      <c r="U4" s="269"/>
      <c r="V4" s="269"/>
      <c r="W4" s="269"/>
      <c r="X4" s="269"/>
      <c r="Y4" s="269"/>
      <c r="Z4" s="269"/>
      <c r="AA4" s="269"/>
      <c r="AB4" s="269"/>
      <c r="AC4" s="269"/>
      <c r="AD4" s="269"/>
      <c r="AE4" s="269"/>
      <c r="AF4" s="269"/>
      <c r="AG4" s="269"/>
      <c r="AH4" s="269"/>
      <c r="AI4" s="269"/>
      <c r="AJ4" s="269"/>
      <c r="AK4" s="269"/>
      <c r="AL4" s="269"/>
      <c r="AM4" s="269"/>
      <c r="AN4" s="269"/>
      <c r="AO4" s="269"/>
      <c r="AP4" s="269"/>
      <c r="AQ4" s="269"/>
      <c r="AR4" s="269"/>
      <c r="AS4" s="269"/>
      <c r="AT4" s="269"/>
      <c r="AU4" s="269"/>
      <c r="AV4" s="269"/>
      <c r="AW4" s="269"/>
      <c r="AX4" s="269"/>
      <c r="AY4" s="269"/>
    </row>
    <row r="5" spans="1:52" ht="24" customHeight="1">
      <c r="D5" s="270" t="s">
        <v>51</v>
      </c>
      <c r="E5" s="270"/>
      <c r="F5" s="270"/>
      <c r="G5" s="270"/>
      <c r="H5" s="270"/>
      <c r="I5" s="270"/>
      <c r="J5" s="270"/>
      <c r="K5" s="270"/>
      <c r="L5" s="270"/>
      <c r="M5" s="270"/>
      <c r="N5" s="270"/>
      <c r="O5" s="270"/>
      <c r="P5" s="270"/>
      <c r="Q5" s="270"/>
      <c r="R5" s="270"/>
      <c r="S5" s="270"/>
      <c r="T5" s="270"/>
      <c r="U5" s="270"/>
      <c r="V5" s="270"/>
      <c r="W5" s="270"/>
      <c r="X5" s="270"/>
      <c r="Y5" s="270"/>
      <c r="Z5" s="270"/>
      <c r="AA5" s="270"/>
      <c r="AB5" s="270"/>
      <c r="AC5" s="270"/>
      <c r="AD5" s="270"/>
      <c r="AE5" s="270"/>
      <c r="AF5" s="270"/>
      <c r="AG5" s="270"/>
      <c r="AH5" s="270"/>
      <c r="AI5" s="270"/>
      <c r="AJ5" s="270"/>
      <c r="AK5" s="270"/>
      <c r="AL5" s="270"/>
      <c r="AM5" s="270"/>
      <c r="AN5" s="270"/>
      <c r="AO5" s="270"/>
      <c r="AP5" s="270"/>
      <c r="AQ5" s="270"/>
      <c r="AR5" s="270"/>
      <c r="AS5" s="270"/>
      <c r="AT5" s="270"/>
      <c r="AU5" s="270"/>
      <c r="AV5" s="270"/>
      <c r="AW5" s="270"/>
      <c r="AX5" s="270"/>
      <c r="AY5" s="270"/>
    </row>
    <row r="6" spans="1:52" ht="9.75" customHeight="1"/>
    <row r="7" spans="1:52" ht="20.100000000000001" customHeight="1"/>
    <row r="8" spans="1:52" ht="11.25" hidden="1" customHeight="1">
      <c r="A8" s="50" t="s">
        <v>105</v>
      </c>
      <c r="B8" s="51"/>
      <c r="C8" s="257" t="s">
        <v>24</v>
      </c>
      <c r="D8" s="257"/>
      <c r="E8" s="258"/>
      <c r="F8" s="52"/>
      <c r="G8" s="53"/>
      <c r="H8" s="257" t="s">
        <v>22</v>
      </c>
      <c r="I8" s="257"/>
      <c r="J8" s="257"/>
      <c r="K8" s="258"/>
      <c r="L8" s="54" t="s">
        <v>106</v>
      </c>
      <c r="M8" s="54" t="s">
        <v>54</v>
      </c>
      <c r="N8" s="54" t="s">
        <v>107</v>
      </c>
      <c r="O8" s="54" t="s">
        <v>108</v>
      </c>
      <c r="P8" s="54" t="s">
        <v>109</v>
      </c>
      <c r="Q8" s="54" t="s">
        <v>64</v>
      </c>
      <c r="R8" s="54" t="s">
        <v>110</v>
      </c>
      <c r="S8" s="54" t="s">
        <v>111</v>
      </c>
      <c r="T8" s="55" t="s">
        <v>112</v>
      </c>
      <c r="U8" s="56" t="s">
        <v>113</v>
      </c>
      <c r="V8" s="56" t="s">
        <v>114</v>
      </c>
      <c r="W8" s="54" t="s">
        <v>115</v>
      </c>
      <c r="X8" s="54" t="s">
        <v>116</v>
      </c>
      <c r="Y8" s="54" t="s">
        <v>117</v>
      </c>
      <c r="Z8" s="54" t="s">
        <v>118</v>
      </c>
      <c r="AA8" s="57" t="s">
        <v>60</v>
      </c>
      <c r="AB8" s="56" t="s">
        <v>119</v>
      </c>
      <c r="AC8" s="58" t="s">
        <v>120</v>
      </c>
      <c r="AD8" s="55" t="s">
        <v>121</v>
      </c>
      <c r="AE8" s="54" t="s">
        <v>122</v>
      </c>
      <c r="AF8" s="54" t="s">
        <v>123</v>
      </c>
      <c r="AG8" s="56" t="s">
        <v>124</v>
      </c>
      <c r="AH8" s="56" t="s">
        <v>125</v>
      </c>
      <c r="AI8" s="56" t="s">
        <v>126</v>
      </c>
      <c r="AJ8" s="56" t="s">
        <v>127</v>
      </c>
      <c r="AK8" s="56" t="s">
        <v>128</v>
      </c>
      <c r="AL8" s="54" t="s">
        <v>110</v>
      </c>
      <c r="AM8" s="54" t="s">
        <v>129</v>
      </c>
      <c r="AN8" s="54" t="s">
        <v>130</v>
      </c>
      <c r="AO8" s="54" t="s">
        <v>131</v>
      </c>
      <c r="AP8" s="54" t="s">
        <v>118</v>
      </c>
      <c r="AQ8" s="56" t="s">
        <v>57</v>
      </c>
      <c r="AR8" s="54" t="s">
        <v>110</v>
      </c>
      <c r="AS8" s="56" t="s">
        <v>1546</v>
      </c>
      <c r="AT8" s="57" t="s">
        <v>60</v>
      </c>
      <c r="AU8" s="56" t="s">
        <v>132</v>
      </c>
      <c r="AV8" s="56" t="s">
        <v>133</v>
      </c>
      <c r="AW8" s="56" t="s">
        <v>134</v>
      </c>
      <c r="AX8" s="56" t="s">
        <v>135</v>
      </c>
      <c r="AY8" s="56" t="s">
        <v>1547</v>
      </c>
    </row>
    <row r="9" spans="1:52" ht="25.5" customHeight="1">
      <c r="A9" s="50" t="s">
        <v>105</v>
      </c>
      <c r="B9" s="51"/>
      <c r="C9" s="257" t="s">
        <v>24</v>
      </c>
      <c r="D9" s="257"/>
      <c r="E9" s="258"/>
      <c r="F9" s="52"/>
      <c r="G9" s="53"/>
      <c r="H9" s="257" t="s">
        <v>22</v>
      </c>
      <c r="I9" s="257"/>
      <c r="J9" s="257"/>
      <c r="K9" s="258"/>
      <c r="L9" s="54" t="s">
        <v>106</v>
      </c>
      <c r="M9" s="54" t="s">
        <v>54</v>
      </c>
      <c r="N9" s="54" t="s">
        <v>107</v>
      </c>
      <c r="O9" s="54" t="s">
        <v>108</v>
      </c>
      <c r="P9" s="54" t="s">
        <v>109</v>
      </c>
      <c r="Q9" s="54" t="s">
        <v>64</v>
      </c>
      <c r="R9" s="54" t="s">
        <v>110</v>
      </c>
      <c r="S9" s="54" t="s">
        <v>111</v>
      </c>
      <c r="T9" s="55" t="s">
        <v>112</v>
      </c>
      <c r="U9" s="56" t="s">
        <v>113</v>
      </c>
      <c r="V9" s="56" t="s">
        <v>114</v>
      </c>
      <c r="W9" s="54" t="s">
        <v>115</v>
      </c>
      <c r="X9" s="54" t="s">
        <v>116</v>
      </c>
      <c r="Y9" s="54" t="s">
        <v>117</v>
      </c>
      <c r="Z9" s="54" t="s">
        <v>118</v>
      </c>
      <c r="AA9" s="57" t="s">
        <v>60</v>
      </c>
      <c r="AB9" s="56" t="s">
        <v>119</v>
      </c>
      <c r="AC9" s="58" t="s">
        <v>120</v>
      </c>
      <c r="AD9" s="55" t="s">
        <v>121</v>
      </c>
      <c r="AE9" s="54" t="s">
        <v>122</v>
      </c>
      <c r="AF9" s="54" t="s">
        <v>123</v>
      </c>
      <c r="AG9" s="56" t="s">
        <v>124</v>
      </c>
      <c r="AH9" s="56" t="s">
        <v>125</v>
      </c>
      <c r="AI9" s="56" t="s">
        <v>126</v>
      </c>
      <c r="AJ9" s="56" t="s">
        <v>127</v>
      </c>
      <c r="AK9" s="56" t="s">
        <v>128</v>
      </c>
      <c r="AL9" s="54" t="s">
        <v>110</v>
      </c>
      <c r="AM9" s="54" t="s">
        <v>129</v>
      </c>
      <c r="AN9" s="54" t="s">
        <v>130</v>
      </c>
      <c r="AO9" s="54" t="s">
        <v>131</v>
      </c>
      <c r="AP9" s="54" t="s">
        <v>118</v>
      </c>
      <c r="AQ9" s="56" t="s">
        <v>57</v>
      </c>
      <c r="AR9" s="54" t="s">
        <v>110</v>
      </c>
      <c r="AS9" s="56" t="s">
        <v>1546</v>
      </c>
      <c r="AT9" s="57" t="s">
        <v>60</v>
      </c>
      <c r="AU9" s="56" t="s">
        <v>132</v>
      </c>
      <c r="AV9" s="56" t="s">
        <v>133</v>
      </c>
      <c r="AW9" s="56" t="s">
        <v>134</v>
      </c>
      <c r="AX9" s="56" t="s">
        <v>135</v>
      </c>
      <c r="AY9" s="56" t="s">
        <v>1547</v>
      </c>
      <c r="AZ9" s="29" t="e">
        <f t="shared" ref="AZ9:AZ34" si="0">L9-AM9-AO9</f>
        <v>#VALUE!</v>
      </c>
    </row>
    <row r="10" spans="1:52" ht="20.100000000000001" customHeight="1">
      <c r="A10" s="32"/>
      <c r="B10" s="33"/>
      <c r="C10" s="254" t="s">
        <v>72</v>
      </c>
      <c r="D10" s="254"/>
      <c r="E10" s="255"/>
      <c r="F10" s="286" t="s">
        <v>896</v>
      </c>
      <c r="G10" s="287"/>
      <c r="H10" s="287"/>
      <c r="I10" s="287"/>
      <c r="J10" s="287"/>
      <c r="K10" s="288"/>
      <c r="L10" s="34">
        <f>L12+L13</f>
        <v>170500000</v>
      </c>
      <c r="M10" s="34">
        <f t="shared" ref="M10:AA10" si="1">M12+M13</f>
        <v>49086250</v>
      </c>
      <c r="N10" s="34">
        <f t="shared" si="1"/>
        <v>0</v>
      </c>
      <c r="O10" s="34">
        <f t="shared" si="1"/>
        <v>0</v>
      </c>
      <c r="P10" s="34">
        <f t="shared" si="1"/>
        <v>0</v>
      </c>
      <c r="Q10" s="34">
        <f t="shared" si="1"/>
        <v>0</v>
      </c>
      <c r="R10" s="34">
        <f t="shared" si="1"/>
        <v>0</v>
      </c>
      <c r="S10" s="34">
        <f t="shared" si="1"/>
        <v>0</v>
      </c>
      <c r="T10" s="34">
        <f t="shared" si="1"/>
        <v>49206300</v>
      </c>
      <c r="U10" s="34">
        <f t="shared" si="1"/>
        <v>0</v>
      </c>
      <c r="V10" s="34">
        <f t="shared" si="1"/>
        <v>0</v>
      </c>
      <c r="W10" s="34">
        <f t="shared" si="1"/>
        <v>0</v>
      </c>
      <c r="X10" s="34">
        <f t="shared" si="1"/>
        <v>0</v>
      </c>
      <c r="Y10" s="34">
        <f t="shared" si="1"/>
        <v>0</v>
      </c>
      <c r="Z10" s="34">
        <f t="shared" si="1"/>
        <v>0</v>
      </c>
      <c r="AA10" s="34">
        <f t="shared" si="1"/>
        <v>47279650</v>
      </c>
      <c r="AB10" s="34">
        <f>AB12+AB13</f>
        <v>170500000</v>
      </c>
      <c r="AC10" s="34">
        <f>L10-AB10</f>
        <v>0</v>
      </c>
      <c r="AD10" s="34">
        <f>AD12+AD13</f>
        <v>24927800</v>
      </c>
      <c r="AE10" s="34">
        <f>AE12+AE13</f>
        <v>341000000</v>
      </c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4">
        <f>AQ11</f>
        <v>56745500</v>
      </c>
      <c r="AR10" s="34">
        <f>AQ10/AB10*100</f>
        <v>33.281818181818181</v>
      </c>
      <c r="AS10" s="34">
        <f>AB10-AQ10</f>
        <v>113754500</v>
      </c>
      <c r="AT10" s="34">
        <v>47279650</v>
      </c>
      <c r="AU10" s="34"/>
      <c r="AV10" s="34"/>
      <c r="AW10" s="34"/>
      <c r="AX10" s="34"/>
      <c r="AY10" s="34">
        <f>AS10/AB10*100</f>
        <v>66.718181818181819</v>
      </c>
      <c r="AZ10" s="29">
        <f t="shared" si="0"/>
        <v>170500000</v>
      </c>
    </row>
    <row r="11" spans="1:52" ht="20.100000000000001" customHeight="1">
      <c r="A11" s="32"/>
      <c r="B11" s="33"/>
      <c r="C11" s="254" t="s">
        <v>73</v>
      </c>
      <c r="D11" s="254"/>
      <c r="E11" s="255"/>
      <c r="F11" s="256" t="s">
        <v>74</v>
      </c>
      <c r="G11" s="254"/>
      <c r="H11" s="254"/>
      <c r="I11" s="254"/>
      <c r="J11" s="254"/>
      <c r="K11" s="255"/>
      <c r="L11" s="34">
        <v>170500000</v>
      </c>
      <c r="M11" s="34">
        <v>49086250</v>
      </c>
      <c r="N11" s="34"/>
      <c r="O11" s="34"/>
      <c r="P11" s="34"/>
      <c r="Q11" s="34"/>
      <c r="R11" s="34"/>
      <c r="S11" s="34"/>
      <c r="T11" s="34">
        <v>49206300</v>
      </c>
      <c r="U11" s="34"/>
      <c r="V11" s="34"/>
      <c r="W11" s="34"/>
      <c r="X11" s="34"/>
      <c r="Y11" s="34"/>
      <c r="Z11" s="34"/>
      <c r="AA11" s="34">
        <v>47279650</v>
      </c>
      <c r="AB11" s="34">
        <v>170500000</v>
      </c>
      <c r="AC11" s="34">
        <f>L11-AB11</f>
        <v>0</v>
      </c>
      <c r="AD11" s="34">
        <v>47279650</v>
      </c>
      <c r="AE11" s="34">
        <f>SUM(M11:AD11)</f>
        <v>363351850</v>
      </c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>
        <f>AQ12+AQ13</f>
        <v>56745500</v>
      </c>
      <c r="AR11" s="34">
        <f>AQ11/AB11*100</f>
        <v>33.281818181818181</v>
      </c>
      <c r="AS11" s="34">
        <f>AB11-AQ11</f>
        <v>113754500</v>
      </c>
      <c r="AT11" s="34">
        <v>47279650</v>
      </c>
      <c r="AU11" s="34"/>
      <c r="AV11" s="34"/>
      <c r="AW11" s="34"/>
      <c r="AX11" s="34"/>
      <c r="AY11" s="34">
        <f>AS11/AB11*100</f>
        <v>66.718181818181819</v>
      </c>
      <c r="AZ11" s="29">
        <f t="shared" si="0"/>
        <v>170500000</v>
      </c>
    </row>
    <row r="12" spans="1:52" ht="20.100000000000001" hidden="1" customHeight="1">
      <c r="A12" s="32"/>
      <c r="B12" s="33"/>
      <c r="C12" s="254" t="s">
        <v>75</v>
      </c>
      <c r="D12" s="254"/>
      <c r="E12" s="255"/>
      <c r="F12" s="33"/>
      <c r="G12" s="35"/>
      <c r="H12" s="254" t="s">
        <v>76</v>
      </c>
      <c r="I12" s="254"/>
      <c r="J12" s="254"/>
      <c r="K12" s="255"/>
      <c r="L12" s="34">
        <v>33000000</v>
      </c>
      <c r="M12" s="34">
        <v>9500000</v>
      </c>
      <c r="N12" s="34"/>
      <c r="O12" s="34"/>
      <c r="P12" s="34"/>
      <c r="Q12" s="34"/>
      <c r="R12" s="34"/>
      <c r="S12" s="34"/>
      <c r="T12" s="34">
        <v>9523800</v>
      </c>
      <c r="U12" s="34"/>
      <c r="V12" s="34"/>
      <c r="W12" s="34"/>
      <c r="X12" s="34"/>
      <c r="Y12" s="34"/>
      <c r="Z12" s="34"/>
      <c r="AA12" s="34">
        <v>9150900</v>
      </c>
      <c r="AB12" s="34">
        <v>33000000</v>
      </c>
      <c r="AC12" s="34">
        <f>L12-AB12</f>
        <v>0</v>
      </c>
      <c r="AD12" s="34">
        <v>4825300</v>
      </c>
      <c r="AE12" s="34">
        <f>SUM(M12:AD12)</f>
        <v>66000000</v>
      </c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>
        <v>14277500</v>
      </c>
      <c r="AR12" s="34">
        <f>AQ12/AB12*100</f>
        <v>43.265151515151516</v>
      </c>
      <c r="AS12" s="34">
        <f>AB12-AQ12</f>
        <v>18722500</v>
      </c>
      <c r="AT12" s="34">
        <v>47279650</v>
      </c>
      <c r="AU12" s="34"/>
      <c r="AV12" s="34"/>
      <c r="AW12" s="34"/>
      <c r="AX12" s="34"/>
      <c r="AY12" s="34">
        <f>AS12/AB12*100</f>
        <v>56.734848484848484</v>
      </c>
      <c r="AZ12" s="29">
        <f t="shared" si="0"/>
        <v>33000000</v>
      </c>
    </row>
    <row r="13" spans="1:52" ht="20.100000000000001" hidden="1" customHeight="1">
      <c r="A13" s="32"/>
      <c r="B13" s="33"/>
      <c r="C13" s="254" t="s">
        <v>77</v>
      </c>
      <c r="D13" s="254"/>
      <c r="E13" s="255"/>
      <c r="F13" s="33"/>
      <c r="G13" s="35"/>
      <c r="H13" s="254" t="s">
        <v>78</v>
      </c>
      <c r="I13" s="254"/>
      <c r="J13" s="254"/>
      <c r="K13" s="255"/>
      <c r="L13" s="34">
        <v>137500000</v>
      </c>
      <c r="M13" s="34">
        <v>39586250</v>
      </c>
      <c r="N13" s="34"/>
      <c r="O13" s="34"/>
      <c r="P13" s="34"/>
      <c r="Q13" s="34"/>
      <c r="R13" s="34"/>
      <c r="S13" s="34"/>
      <c r="T13" s="34">
        <v>39682500</v>
      </c>
      <c r="U13" s="34"/>
      <c r="V13" s="34"/>
      <c r="W13" s="34"/>
      <c r="X13" s="34"/>
      <c r="Y13" s="34"/>
      <c r="Z13" s="34"/>
      <c r="AA13" s="34">
        <v>38128750</v>
      </c>
      <c r="AB13" s="34">
        <v>137500000</v>
      </c>
      <c r="AC13" s="34">
        <f>L13-AB13</f>
        <v>0</v>
      </c>
      <c r="AD13" s="34">
        <v>20102500</v>
      </c>
      <c r="AE13" s="34">
        <f>SUM(M13:AD13)</f>
        <v>275000000</v>
      </c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>
        <v>42468000</v>
      </c>
      <c r="AR13" s="34">
        <f>AQ13/AB13*100</f>
        <v>30.885818181818181</v>
      </c>
      <c r="AS13" s="34">
        <f>AB13-AQ13</f>
        <v>95032000</v>
      </c>
      <c r="AT13" s="34">
        <v>47279650</v>
      </c>
      <c r="AU13" s="34"/>
      <c r="AV13" s="34"/>
      <c r="AW13" s="34"/>
      <c r="AX13" s="34"/>
      <c r="AY13" s="34">
        <f>AS13/AB13*100</f>
        <v>69.114181818181819</v>
      </c>
      <c r="AZ13" s="29">
        <f t="shared" si="0"/>
        <v>137500000</v>
      </c>
    </row>
    <row r="14" spans="1:52" ht="20.100000000000001" customHeight="1">
      <c r="A14" s="32"/>
      <c r="B14" s="33"/>
      <c r="C14" s="35"/>
      <c r="D14" s="35"/>
      <c r="E14" s="36"/>
      <c r="F14" s="33"/>
      <c r="G14" s="35"/>
      <c r="H14" s="35"/>
      <c r="I14" s="35"/>
      <c r="J14" s="35"/>
      <c r="K14" s="36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7"/>
      <c r="AM14" s="37"/>
      <c r="AN14" s="37"/>
      <c r="AO14" s="37"/>
      <c r="AP14" s="37"/>
      <c r="AQ14" s="37"/>
      <c r="AR14" s="37"/>
      <c r="AS14" s="38"/>
      <c r="AT14" s="32"/>
      <c r="AU14" s="32"/>
      <c r="AV14" s="32"/>
      <c r="AW14" s="32"/>
      <c r="AX14" s="32"/>
      <c r="AY14" s="39"/>
      <c r="AZ14" s="29">
        <f t="shared" si="0"/>
        <v>0</v>
      </c>
    </row>
    <row r="15" spans="1:52" ht="20.100000000000001" customHeight="1">
      <c r="A15" s="40" t="s">
        <v>79</v>
      </c>
      <c r="B15" s="41"/>
      <c r="C15" s="259" t="s">
        <v>80</v>
      </c>
      <c r="D15" s="259"/>
      <c r="E15" s="260"/>
      <c r="F15" s="285" t="s">
        <v>10</v>
      </c>
      <c r="G15" s="259"/>
      <c r="H15" s="259"/>
      <c r="I15" s="259"/>
      <c r="J15" s="259"/>
      <c r="K15" s="260"/>
      <c r="L15" s="42">
        <f>L16+L27+L29</f>
        <v>6232337000</v>
      </c>
      <c r="M15" s="42">
        <f t="shared" ref="M15:AA15" si="2">M16+M27+M29</f>
        <v>1426763108</v>
      </c>
      <c r="N15" s="42">
        <f t="shared" si="2"/>
        <v>0</v>
      </c>
      <c r="O15" s="42">
        <f t="shared" si="2"/>
        <v>0</v>
      </c>
      <c r="P15" s="42">
        <f t="shared" si="2"/>
        <v>0</v>
      </c>
      <c r="Q15" s="42">
        <f t="shared" si="2"/>
        <v>0</v>
      </c>
      <c r="R15" s="42">
        <f t="shared" si="2"/>
        <v>0</v>
      </c>
      <c r="S15" s="42">
        <f t="shared" si="2"/>
        <v>0</v>
      </c>
      <c r="T15" s="42">
        <f t="shared" si="2"/>
        <v>2102808680</v>
      </c>
      <c r="U15" s="42">
        <f t="shared" si="2"/>
        <v>0</v>
      </c>
      <c r="V15" s="42">
        <f t="shared" si="2"/>
        <v>0</v>
      </c>
      <c r="W15" s="42">
        <f t="shared" si="2"/>
        <v>0</v>
      </c>
      <c r="X15" s="42">
        <f t="shared" si="2"/>
        <v>0</v>
      </c>
      <c r="Y15" s="42">
        <f t="shared" si="2"/>
        <v>0</v>
      </c>
      <c r="Z15" s="42">
        <f t="shared" si="2"/>
        <v>0</v>
      </c>
      <c r="AA15" s="42">
        <f t="shared" si="2"/>
        <v>1429688108</v>
      </c>
      <c r="AB15" s="42">
        <f>AB16+AB27+AB29</f>
        <v>6048349000</v>
      </c>
      <c r="AC15" s="42">
        <f>AB15-L15</f>
        <v>-183988000</v>
      </c>
      <c r="AD15" s="42">
        <f>AD16+AD27+AD29</f>
        <v>1429688108</v>
      </c>
      <c r="AE15" s="42">
        <f>AE16+AE27+AE29</f>
        <v>0</v>
      </c>
      <c r="AF15" s="42"/>
      <c r="AG15" s="42">
        <f>AG16+AG27+AG29</f>
        <v>4389737764</v>
      </c>
      <c r="AH15" s="42"/>
      <c r="AI15" s="42"/>
      <c r="AJ15" s="42"/>
      <c r="AK15" s="42">
        <f>AK16+AK28</f>
        <v>4772820928</v>
      </c>
      <c r="AL15" s="42">
        <f>AB15-AK15</f>
        <v>1275528072</v>
      </c>
      <c r="AM15" s="42">
        <f>AM16+AM28</f>
        <v>383083164</v>
      </c>
      <c r="AN15" s="42">
        <f>AN16+AN28</f>
        <v>444161514</v>
      </c>
      <c r="AO15" s="42">
        <f>AB15-AK15-AM15-AN15</f>
        <v>448283394</v>
      </c>
      <c r="AP15" s="42">
        <f>AO15/AB15*100</f>
        <v>7.4116654644102056</v>
      </c>
      <c r="AQ15" s="42">
        <f>AQ16+AQ27</f>
        <v>5537071836</v>
      </c>
      <c r="AR15" s="42">
        <f>AQ15/AB15*100</f>
        <v>91.546830978172721</v>
      </c>
      <c r="AS15" s="42">
        <f>AB15-AQ15</f>
        <v>511277164</v>
      </c>
      <c r="AT15" s="42"/>
      <c r="AU15" s="42"/>
      <c r="AV15" s="42"/>
      <c r="AW15" s="42"/>
      <c r="AX15" s="42"/>
      <c r="AY15" s="42">
        <f>AS15/AB15*100</f>
        <v>8.4531690218272786</v>
      </c>
      <c r="AZ15" s="29">
        <f t="shared" si="0"/>
        <v>5400970442</v>
      </c>
    </row>
    <row r="16" spans="1:52" ht="20.100000000000001" hidden="1" customHeight="1">
      <c r="A16" s="43"/>
      <c r="B16" s="44"/>
      <c r="C16" s="256" t="s">
        <v>81</v>
      </c>
      <c r="D16" s="254"/>
      <c r="E16" s="255"/>
      <c r="G16" s="256" t="s">
        <v>25</v>
      </c>
      <c r="H16" s="254"/>
      <c r="I16" s="254"/>
      <c r="J16" s="254"/>
      <c r="K16" s="255"/>
      <c r="L16" s="34">
        <f>SUM(L17:L26)</f>
        <v>5227012000</v>
      </c>
      <c r="M16" s="45">
        <f t="shared" ref="M16:AG16" si="3">SUM(M17:M26)</f>
        <v>1194993108</v>
      </c>
      <c r="N16" s="45">
        <f t="shared" si="3"/>
        <v>0</v>
      </c>
      <c r="O16" s="45">
        <f t="shared" si="3"/>
        <v>0</v>
      </c>
      <c r="P16" s="45">
        <f t="shared" si="3"/>
        <v>0</v>
      </c>
      <c r="Q16" s="45">
        <f t="shared" si="3"/>
        <v>0</v>
      </c>
      <c r="R16" s="45">
        <f t="shared" si="3"/>
        <v>0</v>
      </c>
      <c r="S16" s="45">
        <f t="shared" si="3"/>
        <v>0</v>
      </c>
      <c r="T16" s="34">
        <f t="shared" si="3"/>
        <v>1871038680</v>
      </c>
      <c r="U16" s="34">
        <f t="shared" si="3"/>
        <v>0</v>
      </c>
      <c r="V16" s="34">
        <f t="shared" si="3"/>
        <v>0</v>
      </c>
      <c r="W16" s="34">
        <f t="shared" si="3"/>
        <v>0</v>
      </c>
      <c r="X16" s="34">
        <f t="shared" si="3"/>
        <v>0</v>
      </c>
      <c r="Y16" s="34">
        <f t="shared" si="3"/>
        <v>0</v>
      </c>
      <c r="Z16" s="34">
        <f t="shared" si="3"/>
        <v>0</v>
      </c>
      <c r="AA16" s="34">
        <f t="shared" si="3"/>
        <v>1194993108</v>
      </c>
      <c r="AB16" s="34">
        <f>SUM(AB17:AB26)</f>
        <v>5124904000</v>
      </c>
      <c r="AC16" s="34">
        <f>AB16-L16</f>
        <v>-102108000</v>
      </c>
      <c r="AD16" s="34">
        <f t="shared" si="3"/>
        <v>1194993108</v>
      </c>
      <c r="AE16" s="34">
        <f t="shared" si="3"/>
        <v>0</v>
      </c>
      <c r="AF16" s="34"/>
      <c r="AG16" s="34">
        <f t="shared" si="3"/>
        <v>3762227664</v>
      </c>
      <c r="AH16" s="34"/>
      <c r="AI16" s="34"/>
      <c r="AJ16" s="34"/>
      <c r="AK16" s="34">
        <f>SUM(AK17:AK26)</f>
        <v>4084232478</v>
      </c>
      <c r="AL16" s="34">
        <f>AB16-AK16</f>
        <v>1040671522</v>
      </c>
      <c r="AM16" s="34">
        <f>SUM(AM17:AM26)</f>
        <v>322004814</v>
      </c>
      <c r="AN16" s="34">
        <f>SUM(AN17:AN26)</f>
        <v>322004814</v>
      </c>
      <c r="AO16" s="34">
        <f>AB16-AK16-AM16-AN16</f>
        <v>396661894</v>
      </c>
      <c r="AP16" s="34">
        <f>AO16/AB16*100</f>
        <v>7.7398892545109135</v>
      </c>
      <c r="AQ16" s="34">
        <f>SUM(AQ17:AQ26)</f>
        <v>4731821186</v>
      </c>
      <c r="AR16" s="34">
        <f t="shared" ref="AR16:AR30" si="4">AQ16/AB16*100</f>
        <v>92.329947760972701</v>
      </c>
      <c r="AS16" s="34">
        <f t="shared" ref="AS16:AS30" si="5">AB16-AQ16</f>
        <v>393082814</v>
      </c>
      <c r="AT16" s="34"/>
      <c r="AU16" s="34"/>
      <c r="AV16" s="34"/>
      <c r="AW16" s="34"/>
      <c r="AX16" s="34"/>
      <c r="AY16" s="34">
        <f t="shared" ref="AY16:AY30" si="6">AS16/AB16*100</f>
        <v>7.6700522390273074</v>
      </c>
      <c r="AZ16" s="29">
        <f t="shared" si="0"/>
        <v>4508345292</v>
      </c>
    </row>
    <row r="17" spans="1:52" ht="20.100000000000001" hidden="1" customHeight="1">
      <c r="A17" s="43"/>
      <c r="B17" s="44"/>
      <c r="C17" s="254" t="s">
        <v>82</v>
      </c>
      <c r="D17" s="254"/>
      <c r="E17" s="255"/>
      <c r="F17" s="32"/>
      <c r="G17" s="32"/>
      <c r="H17" s="256" t="s">
        <v>27</v>
      </c>
      <c r="I17" s="254"/>
      <c r="J17" s="254"/>
      <c r="K17" s="255"/>
      <c r="L17" s="34">
        <v>4034142000</v>
      </c>
      <c r="M17" s="34">
        <v>917303358</v>
      </c>
      <c r="N17" s="34"/>
      <c r="O17" s="34"/>
      <c r="P17" s="34"/>
      <c r="Q17" s="34"/>
      <c r="R17" s="34"/>
      <c r="S17" s="34"/>
      <c r="T17" s="34">
        <v>1528838930</v>
      </c>
      <c r="U17" s="34"/>
      <c r="V17" s="34"/>
      <c r="W17" s="34"/>
      <c r="X17" s="34"/>
      <c r="Y17" s="34"/>
      <c r="Z17" s="34"/>
      <c r="AA17" s="34">
        <v>917303358</v>
      </c>
      <c r="AB17" s="34">
        <v>3972577000</v>
      </c>
      <c r="AC17" s="34">
        <f>AB17-L17</f>
        <v>-61565000</v>
      </c>
      <c r="AD17" s="34">
        <v>917303358</v>
      </c>
      <c r="AE17" s="34"/>
      <c r="AF17" s="34"/>
      <c r="AG17" s="34">
        <v>2932577088</v>
      </c>
      <c r="AH17" s="34"/>
      <c r="AI17" s="34"/>
      <c r="AJ17" s="34"/>
      <c r="AK17" s="34">
        <v>3181028288</v>
      </c>
      <c r="AL17" s="34">
        <f>AB17-AK17</f>
        <v>791548712</v>
      </c>
      <c r="AM17" s="34">
        <v>248451200</v>
      </c>
      <c r="AN17" s="34">
        <v>248451200</v>
      </c>
      <c r="AO17" s="34">
        <f t="shared" ref="AO17:AO30" si="7">AB17-AK17-AM17-AN17</f>
        <v>294646312</v>
      </c>
      <c r="AP17" s="34">
        <f t="shared" ref="AP17:AP30" si="8">AO17/AB17*100</f>
        <v>7.4170069453656913</v>
      </c>
      <c r="AQ17" s="34">
        <v>3665442428</v>
      </c>
      <c r="AR17" s="34">
        <f t="shared" si="4"/>
        <v>92.268631369511539</v>
      </c>
      <c r="AS17" s="34">
        <f t="shared" si="5"/>
        <v>307134572</v>
      </c>
      <c r="AT17" s="34"/>
      <c r="AU17" s="34"/>
      <c r="AV17" s="34"/>
      <c r="AW17" s="34"/>
      <c r="AX17" s="34"/>
      <c r="AY17" s="34">
        <f t="shared" si="6"/>
        <v>7.731368630488471</v>
      </c>
      <c r="AZ17" s="29">
        <f t="shared" si="0"/>
        <v>3491044488</v>
      </c>
    </row>
    <row r="18" spans="1:52" ht="20.100000000000001" hidden="1" customHeight="1">
      <c r="A18" s="43"/>
      <c r="B18" s="44"/>
      <c r="C18" s="254" t="s">
        <v>83</v>
      </c>
      <c r="D18" s="254"/>
      <c r="E18" s="255"/>
      <c r="F18" s="32"/>
      <c r="G18" s="32"/>
      <c r="H18" s="256" t="s">
        <v>84</v>
      </c>
      <c r="I18" s="254"/>
      <c r="J18" s="254"/>
      <c r="K18" s="255"/>
      <c r="L18" s="34">
        <v>394486000</v>
      </c>
      <c r="M18" s="34">
        <v>90090000</v>
      </c>
      <c r="N18" s="34"/>
      <c r="O18" s="34"/>
      <c r="P18" s="34"/>
      <c r="Q18" s="34"/>
      <c r="R18" s="34"/>
      <c r="S18" s="34"/>
      <c r="T18" s="34">
        <v>120121000</v>
      </c>
      <c r="U18" s="34"/>
      <c r="V18" s="34"/>
      <c r="W18" s="34"/>
      <c r="X18" s="34"/>
      <c r="Y18" s="34"/>
      <c r="Z18" s="34"/>
      <c r="AA18" s="34">
        <v>90090000</v>
      </c>
      <c r="AB18" s="34">
        <v>371231000</v>
      </c>
      <c r="AC18" s="34">
        <f t="shared" ref="AC18:AC30" si="9">AB18-L18</f>
        <v>-23255000</v>
      </c>
      <c r="AD18" s="34">
        <v>90090000</v>
      </c>
      <c r="AE18" s="34"/>
      <c r="AF18" s="34"/>
      <c r="AG18" s="34">
        <v>281568622</v>
      </c>
      <c r="AH18" s="34"/>
      <c r="AI18" s="34"/>
      <c r="AJ18" s="34"/>
      <c r="AK18" s="34">
        <v>305077428</v>
      </c>
      <c r="AL18" s="34">
        <f t="shared" ref="AL18:AL30" si="10">AB18-AK18</f>
        <v>66153572</v>
      </c>
      <c r="AM18" s="34">
        <v>23508806</v>
      </c>
      <c r="AN18" s="34">
        <v>23508806</v>
      </c>
      <c r="AO18" s="34">
        <f t="shared" si="7"/>
        <v>19135960</v>
      </c>
      <c r="AP18" s="34">
        <f t="shared" si="8"/>
        <v>5.1547311512239009</v>
      </c>
      <c r="AQ18" s="34">
        <v>349795572</v>
      </c>
      <c r="AR18" s="34">
        <f t="shared" si="4"/>
        <v>94.225851828107039</v>
      </c>
      <c r="AS18" s="34">
        <f t="shared" si="5"/>
        <v>21435428</v>
      </c>
      <c r="AT18" s="34"/>
      <c r="AU18" s="34"/>
      <c r="AV18" s="34"/>
      <c r="AW18" s="34"/>
      <c r="AX18" s="34"/>
      <c r="AY18" s="34">
        <f t="shared" si="6"/>
        <v>5.7741481718929721</v>
      </c>
      <c r="AZ18" s="29">
        <f t="shared" si="0"/>
        <v>351841234</v>
      </c>
    </row>
    <row r="19" spans="1:52" ht="20.100000000000001" hidden="1" customHeight="1">
      <c r="A19" s="43"/>
      <c r="B19" s="44"/>
      <c r="C19" s="254" t="s">
        <v>85</v>
      </c>
      <c r="D19" s="254"/>
      <c r="E19" s="255"/>
      <c r="F19" s="32"/>
      <c r="G19" s="32"/>
      <c r="H19" s="256" t="s">
        <v>86</v>
      </c>
      <c r="I19" s="254"/>
      <c r="J19" s="254"/>
      <c r="K19" s="255"/>
      <c r="L19" s="34">
        <v>160790000</v>
      </c>
      <c r="M19" s="34">
        <v>38865000</v>
      </c>
      <c r="N19" s="34"/>
      <c r="O19" s="34"/>
      <c r="P19" s="34"/>
      <c r="Q19" s="34"/>
      <c r="R19" s="34"/>
      <c r="S19" s="34"/>
      <c r="T19" s="34">
        <v>51820000</v>
      </c>
      <c r="U19" s="34"/>
      <c r="V19" s="34"/>
      <c r="W19" s="34"/>
      <c r="X19" s="34"/>
      <c r="Y19" s="34"/>
      <c r="Z19" s="34"/>
      <c r="AA19" s="34">
        <v>38865000</v>
      </c>
      <c r="AB19" s="34">
        <v>148050000</v>
      </c>
      <c r="AC19" s="34">
        <f t="shared" si="9"/>
        <v>-12740000</v>
      </c>
      <c r="AD19" s="34">
        <v>38865000</v>
      </c>
      <c r="AE19" s="34"/>
      <c r="AF19" s="34"/>
      <c r="AG19" s="34">
        <v>111505000</v>
      </c>
      <c r="AH19" s="34"/>
      <c r="AI19" s="34"/>
      <c r="AJ19" s="34"/>
      <c r="AK19" s="34">
        <v>120840000</v>
      </c>
      <c r="AL19" s="34">
        <f t="shared" si="10"/>
        <v>27210000</v>
      </c>
      <c r="AM19" s="34">
        <v>9335000</v>
      </c>
      <c r="AN19" s="34">
        <v>9335000</v>
      </c>
      <c r="AO19" s="34">
        <f t="shared" si="7"/>
        <v>8540000</v>
      </c>
      <c r="AP19" s="34">
        <f t="shared" si="8"/>
        <v>5.7683215130023644</v>
      </c>
      <c r="AQ19" s="34">
        <v>139510000</v>
      </c>
      <c r="AR19" s="34">
        <f t="shared" si="4"/>
        <v>94.231678486997637</v>
      </c>
      <c r="AS19" s="34">
        <f t="shared" si="5"/>
        <v>8540000</v>
      </c>
      <c r="AT19" s="34"/>
      <c r="AU19" s="34"/>
      <c r="AV19" s="34"/>
      <c r="AW19" s="34"/>
      <c r="AX19" s="34"/>
      <c r="AY19" s="34">
        <f t="shared" si="6"/>
        <v>5.7683215130023644</v>
      </c>
      <c r="AZ19" s="29">
        <f t="shared" si="0"/>
        <v>142915000</v>
      </c>
    </row>
    <row r="20" spans="1:52" ht="20.100000000000001" hidden="1" customHeight="1">
      <c r="A20" s="43"/>
      <c r="B20" s="44"/>
      <c r="C20" s="254" t="s">
        <v>87</v>
      </c>
      <c r="D20" s="254"/>
      <c r="E20" s="255"/>
      <c r="F20" s="32"/>
      <c r="G20" s="32"/>
      <c r="H20" s="256" t="s">
        <v>88</v>
      </c>
      <c r="I20" s="254"/>
      <c r="J20" s="254"/>
      <c r="K20" s="255"/>
      <c r="L20" s="34">
        <v>225190000</v>
      </c>
      <c r="M20" s="34">
        <v>45600000</v>
      </c>
      <c r="N20" s="34"/>
      <c r="O20" s="34"/>
      <c r="P20" s="34"/>
      <c r="Q20" s="34"/>
      <c r="R20" s="34"/>
      <c r="S20" s="34"/>
      <c r="T20" s="34">
        <v>60800000</v>
      </c>
      <c r="U20" s="34"/>
      <c r="V20" s="34"/>
      <c r="W20" s="34"/>
      <c r="X20" s="34"/>
      <c r="Y20" s="34"/>
      <c r="Z20" s="34"/>
      <c r="AA20" s="34">
        <v>45600000</v>
      </c>
      <c r="AB20" s="34">
        <v>225190000</v>
      </c>
      <c r="AC20" s="34">
        <f t="shared" si="9"/>
        <v>0</v>
      </c>
      <c r="AD20" s="34">
        <v>45600000</v>
      </c>
      <c r="AE20" s="34"/>
      <c r="AF20" s="34"/>
      <c r="AG20" s="34">
        <v>167530000</v>
      </c>
      <c r="AH20" s="34"/>
      <c r="AI20" s="34"/>
      <c r="AJ20" s="34"/>
      <c r="AK20" s="34">
        <v>182315000</v>
      </c>
      <c r="AL20" s="34">
        <f t="shared" si="10"/>
        <v>42875000</v>
      </c>
      <c r="AM20" s="34">
        <v>14785000</v>
      </c>
      <c r="AN20" s="34">
        <v>14785000</v>
      </c>
      <c r="AO20" s="34">
        <f t="shared" si="7"/>
        <v>13305000</v>
      </c>
      <c r="AP20" s="34">
        <f t="shared" si="8"/>
        <v>5.908344065011768</v>
      </c>
      <c r="AQ20" s="34">
        <v>211545000</v>
      </c>
      <c r="AR20" s="34">
        <f t="shared" si="4"/>
        <v>93.940672321151027</v>
      </c>
      <c r="AS20" s="34">
        <f t="shared" si="5"/>
        <v>13645000</v>
      </c>
      <c r="AT20" s="34"/>
      <c r="AU20" s="34"/>
      <c r="AV20" s="34"/>
      <c r="AW20" s="34"/>
      <c r="AX20" s="34"/>
      <c r="AY20" s="34">
        <f t="shared" si="6"/>
        <v>6.0593276788489723</v>
      </c>
      <c r="AZ20" s="29">
        <f t="shared" si="0"/>
        <v>197100000</v>
      </c>
    </row>
    <row r="21" spans="1:52" ht="20.100000000000001" hidden="1" customHeight="1">
      <c r="A21" s="43"/>
      <c r="B21" s="44"/>
      <c r="C21" s="254" t="s">
        <v>89</v>
      </c>
      <c r="D21" s="254"/>
      <c r="E21" s="255"/>
      <c r="F21" s="32"/>
      <c r="G21" s="32"/>
      <c r="H21" s="256" t="s">
        <v>11</v>
      </c>
      <c r="I21" s="254"/>
      <c r="J21" s="254"/>
      <c r="K21" s="255"/>
      <c r="L21" s="34">
        <v>54581000</v>
      </c>
      <c r="M21" s="34">
        <v>15867000</v>
      </c>
      <c r="N21" s="34"/>
      <c r="O21" s="34"/>
      <c r="P21" s="34"/>
      <c r="Q21" s="34"/>
      <c r="R21" s="34"/>
      <c r="S21" s="34"/>
      <c r="T21" s="34">
        <v>21156000</v>
      </c>
      <c r="U21" s="34"/>
      <c r="V21" s="34"/>
      <c r="W21" s="34"/>
      <c r="X21" s="34"/>
      <c r="Y21" s="34"/>
      <c r="Z21" s="34"/>
      <c r="AA21" s="34">
        <v>15867000</v>
      </c>
      <c r="AB21" s="34">
        <v>46733000</v>
      </c>
      <c r="AC21" s="34">
        <f t="shared" si="9"/>
        <v>-7848000</v>
      </c>
      <c r="AD21" s="34">
        <v>15867000</v>
      </c>
      <c r="AE21" s="34"/>
      <c r="AF21" s="34"/>
      <c r="AG21" s="34">
        <v>36510000</v>
      </c>
      <c r="AH21" s="34"/>
      <c r="AI21" s="34"/>
      <c r="AJ21" s="34"/>
      <c r="AK21" s="34">
        <v>39445000</v>
      </c>
      <c r="AL21" s="34">
        <f t="shared" si="10"/>
        <v>7288000</v>
      </c>
      <c r="AM21" s="34">
        <v>2935000</v>
      </c>
      <c r="AN21" s="34">
        <v>2935000</v>
      </c>
      <c r="AO21" s="34">
        <f t="shared" si="7"/>
        <v>1418000</v>
      </c>
      <c r="AP21" s="34">
        <f t="shared" si="8"/>
        <v>3.0342584469218754</v>
      </c>
      <c r="AQ21" s="34">
        <v>45135000</v>
      </c>
      <c r="AR21" s="34">
        <f t="shared" si="4"/>
        <v>96.580574754456165</v>
      </c>
      <c r="AS21" s="34">
        <f t="shared" si="5"/>
        <v>1598000</v>
      </c>
      <c r="AT21" s="34"/>
      <c r="AU21" s="34"/>
      <c r="AV21" s="34"/>
      <c r="AW21" s="34"/>
      <c r="AX21" s="34"/>
      <c r="AY21" s="34">
        <f t="shared" si="6"/>
        <v>3.4194252455438341</v>
      </c>
      <c r="AZ21" s="29">
        <f t="shared" si="0"/>
        <v>50228000</v>
      </c>
    </row>
    <row r="22" spans="1:52" ht="20.100000000000001" hidden="1" customHeight="1">
      <c r="A22" s="43"/>
      <c r="B22" s="44"/>
      <c r="C22" s="254" t="s">
        <v>90</v>
      </c>
      <c r="D22" s="254"/>
      <c r="E22" s="255"/>
      <c r="F22" s="32"/>
      <c r="G22" s="32"/>
      <c r="H22" s="256" t="s">
        <v>91</v>
      </c>
      <c r="I22" s="254"/>
      <c r="J22" s="254"/>
      <c r="K22" s="255"/>
      <c r="L22" s="34">
        <v>195734000</v>
      </c>
      <c r="M22" s="34">
        <v>49660251</v>
      </c>
      <c r="N22" s="34"/>
      <c r="O22" s="34"/>
      <c r="P22" s="34"/>
      <c r="Q22" s="34"/>
      <c r="R22" s="34"/>
      <c r="S22" s="34"/>
      <c r="T22" s="34">
        <v>49660251</v>
      </c>
      <c r="U22" s="34"/>
      <c r="V22" s="34"/>
      <c r="W22" s="34"/>
      <c r="X22" s="34"/>
      <c r="Y22" s="34"/>
      <c r="Z22" s="34"/>
      <c r="AA22" s="34">
        <v>49660251</v>
      </c>
      <c r="AB22" s="34">
        <v>186079000</v>
      </c>
      <c r="AC22" s="34">
        <f t="shared" si="9"/>
        <v>-9655000</v>
      </c>
      <c r="AD22" s="34">
        <v>49660251</v>
      </c>
      <c r="AE22" s="34"/>
      <c r="AF22" s="34"/>
      <c r="AG22" s="34">
        <v>125865960</v>
      </c>
      <c r="AH22" s="34"/>
      <c r="AI22" s="34"/>
      <c r="AJ22" s="34"/>
      <c r="AK22" s="34">
        <v>138901560</v>
      </c>
      <c r="AL22" s="34">
        <f t="shared" si="10"/>
        <v>47177440</v>
      </c>
      <c r="AM22" s="34">
        <v>13035600</v>
      </c>
      <c r="AN22" s="34">
        <v>13035600</v>
      </c>
      <c r="AO22" s="34">
        <f t="shared" si="7"/>
        <v>21106240</v>
      </c>
      <c r="AP22" s="34">
        <f t="shared" si="8"/>
        <v>11.342623294407215</v>
      </c>
      <c r="AQ22" s="34">
        <v>164248560</v>
      </c>
      <c r="AR22" s="34">
        <f t="shared" si="4"/>
        <v>88.26818716781581</v>
      </c>
      <c r="AS22" s="34">
        <f t="shared" si="5"/>
        <v>21830440</v>
      </c>
      <c r="AT22" s="34"/>
      <c r="AU22" s="34"/>
      <c r="AV22" s="34"/>
      <c r="AW22" s="34"/>
      <c r="AX22" s="34"/>
      <c r="AY22" s="34">
        <f t="shared" si="6"/>
        <v>11.731812832184179</v>
      </c>
      <c r="AZ22" s="29">
        <f t="shared" si="0"/>
        <v>161592160</v>
      </c>
    </row>
    <row r="23" spans="1:52" ht="20.100000000000001" hidden="1" customHeight="1">
      <c r="A23" s="43"/>
      <c r="B23" s="44"/>
      <c r="C23" s="254" t="s">
        <v>92</v>
      </c>
      <c r="D23" s="254"/>
      <c r="E23" s="255"/>
      <c r="F23" s="32"/>
      <c r="G23" s="32"/>
      <c r="H23" s="256" t="s">
        <v>93</v>
      </c>
      <c r="I23" s="254"/>
      <c r="J23" s="254"/>
      <c r="K23" s="255"/>
      <c r="L23" s="34">
        <v>19897000</v>
      </c>
      <c r="M23" s="34">
        <v>1537500</v>
      </c>
      <c r="N23" s="34"/>
      <c r="O23" s="34"/>
      <c r="P23" s="34"/>
      <c r="Q23" s="34"/>
      <c r="R23" s="34"/>
      <c r="S23" s="34"/>
      <c r="T23" s="34">
        <v>2562500</v>
      </c>
      <c r="U23" s="34"/>
      <c r="V23" s="34"/>
      <c r="W23" s="34"/>
      <c r="X23" s="34"/>
      <c r="Y23" s="34"/>
      <c r="Z23" s="34"/>
      <c r="AA23" s="34">
        <v>1537500</v>
      </c>
      <c r="AB23" s="34">
        <v>19065000</v>
      </c>
      <c r="AC23" s="34">
        <f t="shared" si="9"/>
        <v>-832000</v>
      </c>
      <c r="AD23" s="34">
        <v>1537500</v>
      </c>
      <c r="AE23" s="34"/>
      <c r="AF23" s="34"/>
      <c r="AG23" s="34">
        <v>14879584</v>
      </c>
      <c r="AH23" s="34"/>
      <c r="AI23" s="34"/>
      <c r="AJ23" s="34"/>
      <c r="AK23" s="34">
        <v>15329751</v>
      </c>
      <c r="AL23" s="34">
        <f t="shared" si="10"/>
        <v>3735249</v>
      </c>
      <c r="AM23" s="34">
        <v>450167</v>
      </c>
      <c r="AN23" s="34">
        <v>450167</v>
      </c>
      <c r="AO23" s="34">
        <f t="shared" si="7"/>
        <v>2834915</v>
      </c>
      <c r="AP23" s="34">
        <f t="shared" si="8"/>
        <v>14.869735116706007</v>
      </c>
      <c r="AQ23" s="34">
        <v>16154664</v>
      </c>
      <c r="AR23" s="34">
        <f t="shared" si="4"/>
        <v>84.734665617623918</v>
      </c>
      <c r="AS23" s="34">
        <f t="shared" si="5"/>
        <v>2910336</v>
      </c>
      <c r="AT23" s="34"/>
      <c r="AU23" s="34"/>
      <c r="AV23" s="34"/>
      <c r="AW23" s="34"/>
      <c r="AX23" s="34"/>
      <c r="AY23" s="34">
        <f t="shared" si="6"/>
        <v>15.26533438237608</v>
      </c>
      <c r="AZ23" s="29">
        <f t="shared" si="0"/>
        <v>16611918</v>
      </c>
    </row>
    <row r="24" spans="1:52" ht="20.100000000000001" hidden="1" customHeight="1">
      <c r="A24" s="43"/>
      <c r="B24" s="44"/>
      <c r="C24" s="254" t="s">
        <v>94</v>
      </c>
      <c r="D24" s="254"/>
      <c r="E24" s="255"/>
      <c r="F24" s="32"/>
      <c r="G24" s="32"/>
      <c r="H24" s="256" t="s">
        <v>95</v>
      </c>
      <c r="I24" s="254"/>
      <c r="J24" s="254"/>
      <c r="K24" s="255"/>
      <c r="L24" s="34">
        <v>70000</v>
      </c>
      <c r="M24" s="34">
        <v>15000</v>
      </c>
      <c r="N24" s="34"/>
      <c r="O24" s="34"/>
      <c r="P24" s="34"/>
      <c r="Q24" s="34"/>
      <c r="R24" s="34"/>
      <c r="S24" s="34"/>
      <c r="T24" s="34">
        <v>25000</v>
      </c>
      <c r="U24" s="34"/>
      <c r="V24" s="34"/>
      <c r="W24" s="34"/>
      <c r="X24" s="34"/>
      <c r="Y24" s="34"/>
      <c r="Z24" s="34"/>
      <c r="AA24" s="34">
        <v>15000</v>
      </c>
      <c r="AB24" s="34">
        <v>70000</v>
      </c>
      <c r="AC24" s="34">
        <f t="shared" si="9"/>
        <v>0</v>
      </c>
      <c r="AD24" s="34">
        <v>15000</v>
      </c>
      <c r="AE24" s="34"/>
      <c r="AF24" s="34"/>
      <c r="AG24" s="34">
        <v>39861</v>
      </c>
      <c r="AH24" s="34"/>
      <c r="AI24" s="34"/>
      <c r="AJ24" s="34"/>
      <c r="AK24" s="34">
        <v>43458</v>
      </c>
      <c r="AL24" s="34">
        <f t="shared" si="10"/>
        <v>26542</v>
      </c>
      <c r="AM24" s="34">
        <v>3597</v>
      </c>
      <c r="AN24" s="34">
        <v>3597</v>
      </c>
      <c r="AO24" s="34">
        <f t="shared" si="7"/>
        <v>19348</v>
      </c>
      <c r="AP24" s="34">
        <f t="shared" si="8"/>
        <v>27.639999999999997</v>
      </c>
      <c r="AQ24" s="34">
        <v>50472</v>
      </c>
      <c r="AR24" s="34">
        <f t="shared" si="4"/>
        <v>72.102857142857147</v>
      </c>
      <c r="AS24" s="34">
        <f t="shared" si="5"/>
        <v>19528</v>
      </c>
      <c r="AT24" s="34"/>
      <c r="AU24" s="34"/>
      <c r="AV24" s="34"/>
      <c r="AW24" s="34"/>
      <c r="AX24" s="34"/>
      <c r="AY24" s="34">
        <f t="shared" si="6"/>
        <v>27.89714285714286</v>
      </c>
      <c r="AZ24" s="29">
        <f t="shared" si="0"/>
        <v>47055</v>
      </c>
    </row>
    <row r="25" spans="1:52" ht="20.100000000000001" hidden="1" customHeight="1">
      <c r="A25" s="43"/>
      <c r="B25" s="44"/>
      <c r="C25" s="254" t="s">
        <v>96</v>
      </c>
      <c r="D25" s="254"/>
      <c r="E25" s="255"/>
      <c r="F25" s="32"/>
      <c r="G25" s="32"/>
      <c r="H25" s="256" t="s">
        <v>28</v>
      </c>
      <c r="I25" s="254"/>
      <c r="J25" s="254"/>
      <c r="K25" s="255"/>
      <c r="L25" s="34">
        <v>122097000</v>
      </c>
      <c r="M25" s="34">
        <v>30977499</v>
      </c>
      <c r="N25" s="34"/>
      <c r="O25" s="34"/>
      <c r="P25" s="34"/>
      <c r="Q25" s="34"/>
      <c r="R25" s="34"/>
      <c r="S25" s="34"/>
      <c r="T25" s="34">
        <v>30977499</v>
      </c>
      <c r="U25" s="34"/>
      <c r="V25" s="34"/>
      <c r="W25" s="34"/>
      <c r="X25" s="34"/>
      <c r="Y25" s="34"/>
      <c r="Z25" s="34"/>
      <c r="AA25" s="34">
        <v>30977499</v>
      </c>
      <c r="AB25" s="34">
        <v>113080000</v>
      </c>
      <c r="AC25" s="34">
        <f t="shared" si="9"/>
        <v>-9017000</v>
      </c>
      <c r="AD25" s="34">
        <v>30977499</v>
      </c>
      <c r="AE25" s="34"/>
      <c r="AF25" s="34"/>
      <c r="AG25" s="34">
        <v>78807875</v>
      </c>
      <c r="AH25" s="34"/>
      <c r="AI25" s="34"/>
      <c r="AJ25" s="34"/>
      <c r="AK25" s="34">
        <v>86966675</v>
      </c>
      <c r="AL25" s="34">
        <f t="shared" si="10"/>
        <v>26113325</v>
      </c>
      <c r="AM25" s="34">
        <v>8158800</v>
      </c>
      <c r="AN25" s="34">
        <v>8158800</v>
      </c>
      <c r="AO25" s="34">
        <f t="shared" si="7"/>
        <v>9795725</v>
      </c>
      <c r="AP25" s="34">
        <f t="shared" si="8"/>
        <v>8.662650336045278</v>
      </c>
      <c r="AQ25" s="34">
        <v>102840651</v>
      </c>
      <c r="AR25" s="34">
        <f t="shared" si="4"/>
        <v>90.945039794835509</v>
      </c>
      <c r="AS25" s="34">
        <f t="shared" si="5"/>
        <v>10239349</v>
      </c>
      <c r="AT25" s="34"/>
      <c r="AU25" s="34"/>
      <c r="AV25" s="34"/>
      <c r="AW25" s="34"/>
      <c r="AX25" s="34"/>
      <c r="AY25" s="34">
        <f t="shared" si="6"/>
        <v>9.054960205164484</v>
      </c>
      <c r="AZ25" s="29">
        <f t="shared" si="0"/>
        <v>104142475</v>
      </c>
    </row>
    <row r="26" spans="1:52" ht="20.100000000000001" hidden="1" customHeight="1">
      <c r="A26" s="43"/>
      <c r="B26" s="44"/>
      <c r="C26" s="254" t="s">
        <v>97</v>
      </c>
      <c r="D26" s="254"/>
      <c r="E26" s="255"/>
      <c r="F26" s="32"/>
      <c r="G26" s="32"/>
      <c r="H26" s="256" t="s">
        <v>38</v>
      </c>
      <c r="I26" s="254"/>
      <c r="J26" s="254"/>
      <c r="K26" s="255"/>
      <c r="L26" s="34">
        <v>20025000</v>
      </c>
      <c r="M26" s="34">
        <v>5077500</v>
      </c>
      <c r="N26" s="34"/>
      <c r="O26" s="34"/>
      <c r="P26" s="34"/>
      <c r="Q26" s="34"/>
      <c r="R26" s="34"/>
      <c r="S26" s="34"/>
      <c r="T26" s="34">
        <v>5077500</v>
      </c>
      <c r="U26" s="34"/>
      <c r="V26" s="34"/>
      <c r="W26" s="34"/>
      <c r="X26" s="34"/>
      <c r="Y26" s="34"/>
      <c r="Z26" s="34"/>
      <c r="AA26" s="34">
        <v>5077500</v>
      </c>
      <c r="AB26" s="34">
        <v>42829000</v>
      </c>
      <c r="AC26" s="34">
        <f t="shared" si="9"/>
        <v>22804000</v>
      </c>
      <c r="AD26" s="34">
        <v>5077500</v>
      </c>
      <c r="AE26" s="34"/>
      <c r="AF26" s="34"/>
      <c r="AG26" s="34">
        <v>12943674</v>
      </c>
      <c r="AH26" s="34"/>
      <c r="AI26" s="34"/>
      <c r="AJ26" s="34"/>
      <c r="AK26" s="34">
        <v>14285318</v>
      </c>
      <c r="AL26" s="34">
        <f t="shared" si="10"/>
        <v>28543682</v>
      </c>
      <c r="AM26" s="34">
        <v>1341644</v>
      </c>
      <c r="AN26" s="34">
        <v>1341644</v>
      </c>
      <c r="AO26" s="34">
        <f t="shared" si="7"/>
        <v>25860394</v>
      </c>
      <c r="AP26" s="34">
        <f t="shared" si="8"/>
        <v>60.380569240467906</v>
      </c>
      <c r="AQ26" s="34">
        <v>37098839</v>
      </c>
      <c r="AR26" s="34">
        <f t="shared" si="4"/>
        <v>86.620838684069199</v>
      </c>
      <c r="AS26" s="34">
        <f t="shared" si="5"/>
        <v>5730161</v>
      </c>
      <c r="AT26" s="34"/>
      <c r="AU26" s="34"/>
      <c r="AV26" s="34"/>
      <c r="AW26" s="34"/>
      <c r="AX26" s="34"/>
      <c r="AY26" s="34">
        <f t="shared" si="6"/>
        <v>13.379161315930796</v>
      </c>
      <c r="AZ26" s="29">
        <f t="shared" si="0"/>
        <v>-7177038</v>
      </c>
    </row>
    <row r="27" spans="1:52" ht="20.100000000000001" hidden="1" customHeight="1">
      <c r="A27" s="43"/>
      <c r="B27" s="44"/>
      <c r="C27" s="254" t="s">
        <v>98</v>
      </c>
      <c r="D27" s="254"/>
      <c r="E27" s="255"/>
      <c r="F27" s="32"/>
      <c r="G27" s="256" t="s">
        <v>99</v>
      </c>
      <c r="H27" s="254"/>
      <c r="I27" s="254"/>
      <c r="J27" s="254"/>
      <c r="K27" s="255"/>
      <c r="L27" s="34">
        <v>996800000</v>
      </c>
      <c r="M27" s="34">
        <v>230370000</v>
      </c>
      <c r="N27" s="34"/>
      <c r="O27" s="34"/>
      <c r="P27" s="34"/>
      <c r="Q27" s="34"/>
      <c r="R27" s="34"/>
      <c r="S27" s="34"/>
      <c r="T27" s="34">
        <v>230370000</v>
      </c>
      <c r="U27" s="34"/>
      <c r="V27" s="34"/>
      <c r="W27" s="34"/>
      <c r="X27" s="34"/>
      <c r="Y27" s="34"/>
      <c r="Z27" s="34"/>
      <c r="AA27" s="34">
        <v>230370000</v>
      </c>
      <c r="AB27" s="34">
        <v>914920000</v>
      </c>
      <c r="AC27" s="34">
        <f t="shared" si="9"/>
        <v>-81880000</v>
      </c>
      <c r="AD27" s="34">
        <v>230370000</v>
      </c>
      <c r="AE27" s="34"/>
      <c r="AF27" s="34"/>
      <c r="AG27" s="34">
        <v>627510100</v>
      </c>
      <c r="AH27" s="34"/>
      <c r="AI27" s="34"/>
      <c r="AJ27" s="34"/>
      <c r="AK27" s="34">
        <f>AK28</f>
        <v>688588450</v>
      </c>
      <c r="AL27" s="34">
        <f t="shared" si="10"/>
        <v>226331550</v>
      </c>
      <c r="AM27" s="34">
        <f>AM28</f>
        <v>61078350</v>
      </c>
      <c r="AN27" s="34">
        <f>AN28</f>
        <v>122156700</v>
      </c>
      <c r="AO27" s="34">
        <f t="shared" si="7"/>
        <v>43096500</v>
      </c>
      <c r="AP27" s="34">
        <f t="shared" si="8"/>
        <v>4.7104118392864951</v>
      </c>
      <c r="AQ27" s="34">
        <f>AQ28</f>
        <v>805250650</v>
      </c>
      <c r="AR27" s="34">
        <f t="shared" si="4"/>
        <v>88.013230664976177</v>
      </c>
      <c r="AS27" s="34">
        <f t="shared" si="5"/>
        <v>109669350</v>
      </c>
      <c r="AT27" s="34"/>
      <c r="AU27" s="34"/>
      <c r="AV27" s="34"/>
      <c r="AW27" s="34"/>
      <c r="AX27" s="34"/>
      <c r="AY27" s="34">
        <f t="shared" si="6"/>
        <v>11.986769335023826</v>
      </c>
      <c r="AZ27" s="29">
        <f t="shared" si="0"/>
        <v>892625150</v>
      </c>
    </row>
    <row r="28" spans="1:52" ht="20.100000000000001" hidden="1" customHeight="1">
      <c r="A28" s="43"/>
      <c r="B28" s="44"/>
      <c r="C28" s="254" t="s">
        <v>100</v>
      </c>
      <c r="D28" s="254"/>
      <c r="E28" s="255"/>
      <c r="F28" s="32"/>
      <c r="G28" s="32"/>
      <c r="H28" s="256" t="s">
        <v>101</v>
      </c>
      <c r="I28" s="254"/>
      <c r="J28" s="254"/>
      <c r="K28" s="255"/>
      <c r="L28" s="34">
        <v>996800000</v>
      </c>
      <c r="M28" s="34">
        <v>230370000</v>
      </c>
      <c r="N28" s="34"/>
      <c r="O28" s="34"/>
      <c r="P28" s="34"/>
      <c r="Q28" s="34"/>
      <c r="R28" s="34"/>
      <c r="S28" s="34"/>
      <c r="T28" s="34">
        <v>230370000</v>
      </c>
      <c r="U28" s="34"/>
      <c r="V28" s="34"/>
      <c r="W28" s="34"/>
      <c r="X28" s="34"/>
      <c r="Y28" s="34"/>
      <c r="Z28" s="34"/>
      <c r="AA28" s="34">
        <v>230370000</v>
      </c>
      <c r="AB28" s="34">
        <v>914920000</v>
      </c>
      <c r="AC28" s="34">
        <f t="shared" si="9"/>
        <v>-81880000</v>
      </c>
      <c r="AD28" s="34">
        <v>230370000</v>
      </c>
      <c r="AE28" s="34"/>
      <c r="AF28" s="34"/>
      <c r="AG28" s="34">
        <v>627510100</v>
      </c>
      <c r="AH28" s="34"/>
      <c r="AI28" s="34"/>
      <c r="AJ28" s="34"/>
      <c r="AK28" s="34">
        <v>688588450</v>
      </c>
      <c r="AL28" s="34">
        <f t="shared" si="10"/>
        <v>226331550</v>
      </c>
      <c r="AM28" s="34">
        <v>61078350</v>
      </c>
      <c r="AN28" s="34">
        <f>61078350*2</f>
        <v>122156700</v>
      </c>
      <c r="AO28" s="34">
        <f>AB28-AK28-AM28-AN28</f>
        <v>43096500</v>
      </c>
      <c r="AP28" s="34">
        <f t="shared" si="8"/>
        <v>4.7104118392864951</v>
      </c>
      <c r="AQ28" s="34">
        <v>805250650</v>
      </c>
      <c r="AR28" s="34">
        <f t="shared" si="4"/>
        <v>88.013230664976177</v>
      </c>
      <c r="AS28" s="34">
        <f t="shared" si="5"/>
        <v>109669350</v>
      </c>
      <c r="AT28" s="34"/>
      <c r="AU28" s="34"/>
      <c r="AV28" s="34"/>
      <c r="AW28" s="34"/>
      <c r="AX28" s="34"/>
      <c r="AY28" s="34">
        <f t="shared" si="6"/>
        <v>11.986769335023826</v>
      </c>
      <c r="AZ28" s="29">
        <f t="shared" si="0"/>
        <v>892625150</v>
      </c>
    </row>
    <row r="29" spans="1:52" ht="20.100000000000001" hidden="1" customHeight="1">
      <c r="A29" s="43"/>
      <c r="B29" s="44"/>
      <c r="C29" s="254" t="s">
        <v>102</v>
      </c>
      <c r="D29" s="254"/>
      <c r="E29" s="255"/>
      <c r="F29" s="32"/>
      <c r="G29" s="256" t="s">
        <v>12</v>
      </c>
      <c r="H29" s="254"/>
      <c r="I29" s="254"/>
      <c r="J29" s="254"/>
      <c r="K29" s="255"/>
      <c r="L29" s="34">
        <v>8525000</v>
      </c>
      <c r="M29" s="34">
        <v>1400000</v>
      </c>
      <c r="N29" s="34"/>
      <c r="O29" s="34"/>
      <c r="P29" s="34"/>
      <c r="Q29" s="34"/>
      <c r="R29" s="34"/>
      <c r="S29" s="34"/>
      <c r="T29" s="34">
        <v>1400000</v>
      </c>
      <c r="U29" s="34"/>
      <c r="V29" s="34"/>
      <c r="W29" s="34"/>
      <c r="X29" s="34"/>
      <c r="Y29" s="34"/>
      <c r="Z29" s="34"/>
      <c r="AA29" s="34">
        <v>4325000</v>
      </c>
      <c r="AB29" s="34">
        <v>8525000</v>
      </c>
      <c r="AC29" s="34">
        <f t="shared" si="9"/>
        <v>0</v>
      </c>
      <c r="AD29" s="34">
        <v>4325000</v>
      </c>
      <c r="AE29" s="34"/>
      <c r="AF29" s="34"/>
      <c r="AG29" s="34">
        <v>0</v>
      </c>
      <c r="AH29" s="34"/>
      <c r="AI29" s="34"/>
      <c r="AJ29" s="34"/>
      <c r="AK29" s="34">
        <v>0</v>
      </c>
      <c r="AL29" s="34">
        <f t="shared" si="10"/>
        <v>8525000</v>
      </c>
      <c r="AM29" s="34">
        <v>0</v>
      </c>
      <c r="AN29" s="34">
        <v>0</v>
      </c>
      <c r="AO29" s="34">
        <f t="shared" si="7"/>
        <v>8525000</v>
      </c>
      <c r="AP29" s="34">
        <f t="shared" si="8"/>
        <v>100</v>
      </c>
      <c r="AQ29" s="34">
        <f>AK29+AM29+AN29</f>
        <v>0</v>
      </c>
      <c r="AR29" s="34">
        <f t="shared" si="4"/>
        <v>0</v>
      </c>
      <c r="AS29" s="34">
        <f t="shared" si="5"/>
        <v>8525000</v>
      </c>
      <c r="AT29" s="34"/>
      <c r="AU29" s="34"/>
      <c r="AV29" s="34"/>
      <c r="AW29" s="34"/>
      <c r="AX29" s="34"/>
      <c r="AY29" s="34">
        <f t="shared" si="6"/>
        <v>100</v>
      </c>
      <c r="AZ29" s="29">
        <f t="shared" si="0"/>
        <v>0</v>
      </c>
    </row>
    <row r="30" spans="1:52" ht="20.100000000000001" hidden="1" customHeight="1">
      <c r="A30" s="43"/>
      <c r="B30" s="44"/>
      <c r="C30" s="254" t="s">
        <v>103</v>
      </c>
      <c r="D30" s="254"/>
      <c r="E30" s="255"/>
      <c r="F30" s="32"/>
      <c r="G30" s="32"/>
      <c r="H30" s="256" t="s">
        <v>104</v>
      </c>
      <c r="I30" s="254"/>
      <c r="J30" s="254"/>
      <c r="K30" s="255"/>
      <c r="L30" s="34">
        <v>8525000</v>
      </c>
      <c r="M30" s="34">
        <v>1400000</v>
      </c>
      <c r="N30" s="34"/>
      <c r="O30" s="34"/>
      <c r="P30" s="34"/>
      <c r="Q30" s="34"/>
      <c r="R30" s="34"/>
      <c r="S30" s="34"/>
      <c r="T30" s="34">
        <v>1400000</v>
      </c>
      <c r="U30" s="34"/>
      <c r="V30" s="34"/>
      <c r="W30" s="34"/>
      <c r="X30" s="34"/>
      <c r="Y30" s="34"/>
      <c r="Z30" s="34">
        <f>322575000-Z351</f>
        <v>4809025</v>
      </c>
      <c r="AA30" s="34">
        <v>4325000</v>
      </c>
      <c r="AB30" s="34">
        <v>8525000</v>
      </c>
      <c r="AC30" s="34">
        <f t="shared" si="9"/>
        <v>0</v>
      </c>
      <c r="AD30" s="34">
        <v>4325000</v>
      </c>
      <c r="AE30" s="34"/>
      <c r="AF30" s="34"/>
      <c r="AG30" s="34">
        <v>0</v>
      </c>
      <c r="AH30" s="34"/>
      <c r="AI30" s="34"/>
      <c r="AJ30" s="34"/>
      <c r="AK30" s="34">
        <v>0</v>
      </c>
      <c r="AL30" s="34">
        <f t="shared" si="10"/>
        <v>8525000</v>
      </c>
      <c r="AM30" s="34">
        <v>0</v>
      </c>
      <c r="AN30" s="34">
        <v>0</v>
      </c>
      <c r="AO30" s="34">
        <f t="shared" si="7"/>
        <v>8525000</v>
      </c>
      <c r="AP30" s="34">
        <f t="shared" si="8"/>
        <v>100</v>
      </c>
      <c r="AQ30" s="34">
        <f>AK30+AM30+AN30</f>
        <v>0</v>
      </c>
      <c r="AR30" s="34">
        <f t="shared" si="4"/>
        <v>0</v>
      </c>
      <c r="AS30" s="34">
        <f t="shared" si="5"/>
        <v>8525000</v>
      </c>
      <c r="AT30" s="34"/>
      <c r="AU30" s="34"/>
      <c r="AV30" s="34"/>
      <c r="AW30" s="34"/>
      <c r="AX30" s="34"/>
      <c r="AY30" s="34">
        <f t="shared" si="6"/>
        <v>100</v>
      </c>
      <c r="AZ30" s="29">
        <f t="shared" si="0"/>
        <v>0</v>
      </c>
    </row>
    <row r="31" spans="1:52" ht="20.100000000000001" customHeight="1">
      <c r="A31" s="43"/>
      <c r="B31" s="44"/>
      <c r="C31" s="46"/>
      <c r="D31" s="46"/>
      <c r="E31" s="47"/>
      <c r="F31" s="33"/>
      <c r="G31" s="35"/>
      <c r="H31" s="46"/>
      <c r="I31" s="46"/>
      <c r="J31" s="46"/>
      <c r="K31" s="47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48">
        <f>AG33</f>
        <v>284145622</v>
      </c>
      <c r="AH31" s="48"/>
      <c r="AI31" s="48"/>
      <c r="AJ31" s="48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29">
        <f t="shared" si="0"/>
        <v>0</v>
      </c>
    </row>
    <row r="32" spans="1:52" ht="38.25" hidden="1">
      <c r="A32" s="50" t="s">
        <v>105</v>
      </c>
      <c r="B32" s="51"/>
      <c r="C32" s="257" t="s">
        <v>24</v>
      </c>
      <c r="D32" s="257"/>
      <c r="E32" s="258"/>
      <c r="F32" s="52"/>
      <c r="G32" s="53"/>
      <c r="H32" s="257" t="s">
        <v>22</v>
      </c>
      <c r="I32" s="257"/>
      <c r="J32" s="257"/>
      <c r="K32" s="258"/>
      <c r="L32" s="54" t="s">
        <v>106</v>
      </c>
      <c r="M32" s="54" t="s">
        <v>54</v>
      </c>
      <c r="N32" s="54" t="s">
        <v>107</v>
      </c>
      <c r="O32" s="54" t="s">
        <v>108</v>
      </c>
      <c r="P32" s="54" t="s">
        <v>109</v>
      </c>
      <c r="Q32" s="54" t="s">
        <v>64</v>
      </c>
      <c r="R32" s="54" t="s">
        <v>110</v>
      </c>
      <c r="S32" s="54" t="s">
        <v>111</v>
      </c>
      <c r="T32" s="55" t="s">
        <v>112</v>
      </c>
      <c r="U32" s="56" t="s">
        <v>113</v>
      </c>
      <c r="V32" s="56" t="s">
        <v>114</v>
      </c>
      <c r="W32" s="54" t="s">
        <v>115</v>
      </c>
      <c r="X32" s="54" t="s">
        <v>116</v>
      </c>
      <c r="Y32" s="54" t="s">
        <v>117</v>
      </c>
      <c r="Z32" s="54" t="s">
        <v>118</v>
      </c>
      <c r="AA32" s="57" t="s">
        <v>60</v>
      </c>
      <c r="AB32" s="56" t="s">
        <v>119</v>
      </c>
      <c r="AC32" s="58" t="s">
        <v>120</v>
      </c>
      <c r="AD32" s="55" t="s">
        <v>121</v>
      </c>
      <c r="AE32" s="54" t="s">
        <v>122</v>
      </c>
      <c r="AF32" s="54" t="s">
        <v>123</v>
      </c>
      <c r="AG32" s="56" t="s">
        <v>124</v>
      </c>
      <c r="AH32" s="56" t="s">
        <v>125</v>
      </c>
      <c r="AI32" s="56" t="s">
        <v>126</v>
      </c>
      <c r="AJ32" s="56" t="s">
        <v>127</v>
      </c>
      <c r="AK32" s="56" t="s">
        <v>128</v>
      </c>
      <c r="AL32" s="54" t="s">
        <v>110</v>
      </c>
      <c r="AM32" s="54" t="s">
        <v>129</v>
      </c>
      <c r="AN32" s="54" t="s">
        <v>130</v>
      </c>
      <c r="AO32" s="54" t="s">
        <v>131</v>
      </c>
      <c r="AP32" s="54" t="s">
        <v>118</v>
      </c>
      <c r="AQ32" s="56" t="s">
        <v>57</v>
      </c>
      <c r="AR32" s="54" t="s">
        <v>110</v>
      </c>
      <c r="AS32" s="56" t="s">
        <v>1546</v>
      </c>
      <c r="AT32" s="57" t="s">
        <v>60</v>
      </c>
      <c r="AU32" s="56" t="s">
        <v>132</v>
      </c>
      <c r="AV32" s="56" t="s">
        <v>133</v>
      </c>
      <c r="AW32" s="56" t="s">
        <v>134</v>
      </c>
      <c r="AX32" s="56" t="s">
        <v>135</v>
      </c>
      <c r="AY32" s="56" t="s">
        <v>1547</v>
      </c>
      <c r="AZ32" s="29" t="e">
        <f t="shared" si="0"/>
        <v>#VALUE!</v>
      </c>
    </row>
    <row r="33" spans="1:53" ht="20.100000000000001" customHeight="1">
      <c r="A33" s="40" t="s">
        <v>136</v>
      </c>
      <c r="B33" s="44"/>
      <c r="C33" s="259" t="s">
        <v>137</v>
      </c>
      <c r="D33" s="259"/>
      <c r="E33" s="260"/>
      <c r="F33" s="261"/>
      <c r="G33" s="262"/>
      <c r="H33" s="262"/>
      <c r="I33" s="262"/>
      <c r="J33" s="262"/>
      <c r="K33" s="263"/>
      <c r="L33" s="42">
        <f>L34+L87+L122+L136+L154+L192+L270+L290+L416+L443+L548+L635</f>
        <v>5320434000</v>
      </c>
      <c r="M33" s="42">
        <f>M34+M87+M122+M136+M154+M192+M270+M290+M416+M443+M548+M635</f>
        <v>811748150</v>
      </c>
      <c r="N33" s="42">
        <f>N34+N87+N122+N136+N154+N192+N270+N290+N416+N443+N548+N635</f>
        <v>279597741</v>
      </c>
      <c r="O33" s="42">
        <f>O34+O87+O122+O136+O154+O192+O270+O290+O416+O443+O548+O635</f>
        <v>0</v>
      </c>
      <c r="P33" s="42">
        <f>P34+P87+P122+P136+P154+P192+P270+P290+P416+P443+P548+P635</f>
        <v>0</v>
      </c>
      <c r="Q33" s="42">
        <f>SUM(N33:P33)</f>
        <v>279597741</v>
      </c>
      <c r="R33" s="59">
        <f>Q33/M33*100</f>
        <v>34.443902459155588</v>
      </c>
      <c r="S33" s="42">
        <f>M33-Q33</f>
        <v>532150409</v>
      </c>
      <c r="T33" s="42">
        <f>T34+T87+T122+T136+T154+T192+T270+T290+T416+T443+T548+T635</f>
        <v>1555015250</v>
      </c>
      <c r="U33" s="42">
        <f>T33+M33</f>
        <v>2366763400</v>
      </c>
      <c r="V33" s="42">
        <f>S33+T33</f>
        <v>2087165659</v>
      </c>
      <c r="W33" s="42">
        <f t="shared" ref="W33:AB33" si="11">W34+W87+W122+W136+W154+W192+W270+W290+W416+W443+W548+W635</f>
        <v>314563491</v>
      </c>
      <c r="X33" s="42">
        <f t="shared" si="11"/>
        <v>242114180</v>
      </c>
      <c r="Y33" s="42">
        <f t="shared" si="11"/>
        <v>141408250</v>
      </c>
      <c r="Z33" s="42">
        <f t="shared" si="11"/>
        <v>475953975</v>
      </c>
      <c r="AA33" s="42">
        <f t="shared" si="11"/>
        <v>1821270600</v>
      </c>
      <c r="AB33" s="42">
        <f t="shared" si="11"/>
        <v>5229995000</v>
      </c>
      <c r="AC33" s="42">
        <f>L33-AB33</f>
        <v>90439000</v>
      </c>
      <c r="AD33" s="42">
        <f>M33+T33+AA33</f>
        <v>4188034000</v>
      </c>
      <c r="AE33" s="42">
        <f t="shared" ref="AE33:AK33" si="12">AE34+AE87+AE122+AE136+AE154+AE192+AE270+AE290+AE416+AE443+AE548+AE635</f>
        <v>199628400</v>
      </c>
      <c r="AF33" s="42">
        <f t="shared" si="12"/>
        <v>265923400</v>
      </c>
      <c r="AG33" s="42">
        <f t="shared" si="12"/>
        <v>284145622</v>
      </c>
      <c r="AH33" s="42">
        <f t="shared" si="12"/>
        <v>388838175</v>
      </c>
      <c r="AI33" s="42">
        <f t="shared" si="12"/>
        <v>0</v>
      </c>
      <c r="AJ33" s="42">
        <f t="shared" si="12"/>
        <v>320151262</v>
      </c>
      <c r="AK33" s="42">
        <f t="shared" si="12"/>
        <v>2910950496</v>
      </c>
      <c r="AL33" s="42">
        <f>AK33/AB33*100</f>
        <v>55.658762503597039</v>
      </c>
      <c r="AM33" s="42">
        <f>AM34+AM87+AM122+AM136+AM154+AM192+AM270+AM290+AM416+AM443+AM548+AM635</f>
        <v>757631400</v>
      </c>
      <c r="AN33" s="42">
        <f>AN34+AN87+AN122+AN136+AN154+AN192+AN270+AN290+AN416+AN443+AN548+AN635</f>
        <v>195851725</v>
      </c>
      <c r="AO33" s="42">
        <f>AO34+AO87+AO122+AO136+AO154+AO192+AO270+AO290+AO416+AO443+AO548+AO635</f>
        <v>239689962</v>
      </c>
      <c r="AP33" s="42">
        <f>AP34+AP87+AP122+AP136+AP154+AP192+AP270+AP290+AP416+AP443+AP548+AP635</f>
        <v>336272900</v>
      </c>
      <c r="AQ33" s="42">
        <f>AK33+AM33+AN33+AO33+AP33</f>
        <v>4440396483</v>
      </c>
      <c r="AR33" s="42">
        <f>AQ33/AB33*100</f>
        <v>84.902499581739562</v>
      </c>
      <c r="AS33" s="42">
        <f>AB33-AQ33</f>
        <v>789598517</v>
      </c>
      <c r="AT33" s="42">
        <f>AT34+AT87+AT122+AT136+AT154+AT192+AT270+AT290+AT416+AT443+AT548+AT635</f>
        <v>1449210000</v>
      </c>
      <c r="AU33" s="42">
        <f>AT33+U33</f>
        <v>3815973400</v>
      </c>
      <c r="AV33" s="42">
        <f>AK33</f>
        <v>2910950496</v>
      </c>
      <c r="AW33" s="59">
        <f>AV33/AU33*100</f>
        <v>76.283301555508743</v>
      </c>
      <c r="AX33" s="42">
        <f>AU33-AV33</f>
        <v>905022904</v>
      </c>
      <c r="AY33" s="42">
        <f>AS33/AB33*100</f>
        <v>15.097500418260438</v>
      </c>
      <c r="AZ33" s="29">
        <f t="shared" si="0"/>
        <v>4323112638</v>
      </c>
    </row>
    <row r="34" spans="1:53" ht="20.100000000000001" customHeight="1">
      <c r="A34" s="60" t="s">
        <v>138</v>
      </c>
      <c r="B34" s="44"/>
      <c r="C34" s="247" t="s">
        <v>139</v>
      </c>
      <c r="D34" s="247"/>
      <c r="E34" s="248"/>
      <c r="F34" s="249" t="s">
        <v>140</v>
      </c>
      <c r="G34" s="250"/>
      <c r="H34" s="250"/>
      <c r="I34" s="250"/>
      <c r="J34" s="250"/>
      <c r="K34" s="251"/>
      <c r="L34" s="48">
        <f>L35+L45+L53+L69+L77</f>
        <v>410000000</v>
      </c>
      <c r="M34" s="48">
        <f t="shared" ref="M34:T34" si="13">M35+M45+M53+M69+M77</f>
        <v>107725000</v>
      </c>
      <c r="N34" s="48">
        <f t="shared" si="13"/>
        <v>62203336</v>
      </c>
      <c r="O34" s="48">
        <f t="shared" si="13"/>
        <v>0</v>
      </c>
      <c r="P34" s="48">
        <f t="shared" si="13"/>
        <v>0</v>
      </c>
      <c r="Q34" s="48">
        <f>SUM(N34:P34)</f>
        <v>62203336</v>
      </c>
      <c r="R34" s="61">
        <f t="shared" ref="R34:R97" si="14">Q34/M34*100</f>
        <v>57.742711533998602</v>
      </c>
      <c r="S34" s="48">
        <f>M34-Q34</f>
        <v>45521664</v>
      </c>
      <c r="T34" s="48">
        <f t="shared" si="13"/>
        <v>113114500</v>
      </c>
      <c r="U34" s="48">
        <f>T34+M34</f>
        <v>220839500</v>
      </c>
      <c r="V34" s="48">
        <f>T34+S34</f>
        <v>158636164</v>
      </c>
      <c r="W34" s="48">
        <f t="shared" ref="W34:AG34" si="15">W35+W45+W53+W69+W77</f>
        <v>52002991</v>
      </c>
      <c r="X34" s="48">
        <f t="shared" si="15"/>
        <v>43427980</v>
      </c>
      <c r="Y34" s="48">
        <f t="shared" si="15"/>
        <v>0</v>
      </c>
      <c r="Z34" s="48">
        <f t="shared" si="15"/>
        <v>0</v>
      </c>
      <c r="AA34" s="48">
        <v>120767500</v>
      </c>
      <c r="AB34" s="48">
        <f>AB35+AB45+AB53+AB69+AB77</f>
        <v>403500000</v>
      </c>
      <c r="AC34" s="48">
        <f t="shared" ref="AC34:AC47" si="16">AB34-L34</f>
        <v>-6500000</v>
      </c>
      <c r="AD34" s="48">
        <f>AA34+T34+M34</f>
        <v>341607000</v>
      </c>
      <c r="AE34" s="48">
        <f>AE35+AE45+AE53+AE69+AE77</f>
        <v>9842400</v>
      </c>
      <c r="AF34" s="48">
        <f>AF35+AF45+AF53+AF69+AF77</f>
        <v>0</v>
      </c>
      <c r="AG34" s="48">
        <f t="shared" si="15"/>
        <v>59899897</v>
      </c>
      <c r="AH34" s="48">
        <f>AH35+AH45+AH53+AH69+AH77</f>
        <v>0</v>
      </c>
      <c r="AI34" s="48">
        <f>AI35+AI45+AI53+AI69+AI77</f>
        <v>0</v>
      </c>
      <c r="AJ34" s="48">
        <f>AJ35+AJ45+AJ53+AJ69+AJ77</f>
        <v>41523827</v>
      </c>
      <c r="AK34" s="48">
        <f>AK35+AK45+AK53+AK69+AK77</f>
        <v>268900431</v>
      </c>
      <c r="AL34" s="48">
        <f>AK34/AB34*100</f>
        <v>66.641990334572483</v>
      </c>
      <c r="AM34" s="48">
        <f>AM35+AM45+AM53+AM69+AM77</f>
        <v>0</v>
      </c>
      <c r="AN34" s="48">
        <f>AN35+AN45+AN53+AN69+AN77</f>
        <v>0</v>
      </c>
      <c r="AO34" s="48">
        <f>AO35+AO45+AO53+AO69+AO77</f>
        <v>60439462</v>
      </c>
      <c r="AP34" s="48">
        <f>AP35+AP45+AP53+AP69+AP77</f>
        <v>0</v>
      </c>
      <c r="AQ34" s="48">
        <f>AK34+AM34+AN34+AO34+AP34</f>
        <v>329339893</v>
      </c>
      <c r="AR34" s="48">
        <f>AQ34/AB34*100</f>
        <v>81.620791325898395</v>
      </c>
      <c r="AS34" s="48">
        <f>AB34-AQ34</f>
        <v>74160107</v>
      </c>
      <c r="AT34" s="48">
        <v>120767500</v>
      </c>
      <c r="AU34" s="48">
        <f>AT34+U34</f>
        <v>341607000</v>
      </c>
      <c r="AV34" s="48">
        <f>AK34</f>
        <v>268900431</v>
      </c>
      <c r="AW34" s="61">
        <f>AV34/AU34*100</f>
        <v>78.716311726633236</v>
      </c>
      <c r="AX34" s="48">
        <f>AU34-AV34</f>
        <v>72706569</v>
      </c>
      <c r="AY34" s="48">
        <f>AS34/AB34*100</f>
        <v>18.379208674101612</v>
      </c>
      <c r="AZ34" s="29">
        <f t="shared" si="0"/>
        <v>349560538</v>
      </c>
    </row>
    <row r="35" spans="1:53" ht="20.100000000000001" customHeight="1">
      <c r="A35" s="62">
        <v>1</v>
      </c>
      <c r="B35" s="63"/>
      <c r="C35" s="242" t="s">
        <v>141</v>
      </c>
      <c r="D35" s="242"/>
      <c r="E35" s="243"/>
      <c r="F35" s="64"/>
      <c r="G35" s="244" t="s">
        <v>0</v>
      </c>
      <c r="H35" s="244"/>
      <c r="I35" s="244"/>
      <c r="J35" s="244"/>
      <c r="K35" s="245"/>
      <c r="L35" s="65">
        <f>SUM(L38:L44)</f>
        <v>40000000</v>
      </c>
      <c r="M35" s="65">
        <f>SUM(M38:M44)</f>
        <v>20558000</v>
      </c>
      <c r="N35" s="65">
        <f>SUM(N38:N44)</f>
        <v>7140925</v>
      </c>
      <c r="O35" s="65">
        <f>SUM(O38:O44)</f>
        <v>0</v>
      </c>
      <c r="P35" s="65">
        <f>SUM(P38:P44)</f>
        <v>0</v>
      </c>
      <c r="Q35" s="65">
        <f>SUM(N35:P35)</f>
        <v>7140925</v>
      </c>
      <c r="R35" s="66">
        <f t="shared" si="14"/>
        <v>34.735504426500633</v>
      </c>
      <c r="S35" s="65">
        <f>M35-Q35</f>
        <v>13417075</v>
      </c>
      <c r="T35" s="65">
        <f>SUM(T38:T44)</f>
        <v>10011500</v>
      </c>
      <c r="U35" s="65">
        <f>T35+M35</f>
        <v>30569500</v>
      </c>
      <c r="V35" s="65">
        <f>T35+S35</f>
        <v>23428575</v>
      </c>
      <c r="W35" s="65">
        <f>SUM(W38:W44)</f>
        <v>15889125</v>
      </c>
      <c r="X35" s="65">
        <f>SUM(X38:X44)</f>
        <v>0</v>
      </c>
      <c r="Y35" s="65">
        <f>SUM(Y38:Y44)</f>
        <v>0</v>
      </c>
      <c r="Z35" s="65"/>
      <c r="AA35" s="65">
        <f>SUM(AA38:AA44)</f>
        <v>5761500</v>
      </c>
      <c r="AB35" s="65">
        <f>SUM(AB38:AB44)</f>
        <v>40000000</v>
      </c>
      <c r="AC35" s="65">
        <f t="shared" si="16"/>
        <v>0</v>
      </c>
      <c r="AD35" s="65">
        <f>AA35+T35+M35</f>
        <v>36331000</v>
      </c>
      <c r="AE35" s="65">
        <f t="shared" ref="AE35:AK35" si="17">SUM(AE38:AE44)</f>
        <v>1150000</v>
      </c>
      <c r="AF35" s="65">
        <f t="shared" si="17"/>
        <v>0</v>
      </c>
      <c r="AG35" s="65">
        <f t="shared" si="17"/>
        <v>6085600</v>
      </c>
      <c r="AH35" s="65">
        <f t="shared" si="17"/>
        <v>0</v>
      </c>
      <c r="AI35" s="65">
        <f t="shared" si="17"/>
        <v>0</v>
      </c>
      <c r="AJ35" s="65">
        <f t="shared" si="17"/>
        <v>5614725</v>
      </c>
      <c r="AK35" s="65">
        <f t="shared" si="17"/>
        <v>35880375</v>
      </c>
      <c r="AL35" s="65">
        <f>AK35/AB35*100</f>
        <v>89.700937499999995</v>
      </c>
      <c r="AM35" s="65">
        <f>SUM(AM38:AM44)</f>
        <v>0</v>
      </c>
      <c r="AN35" s="65">
        <f>SUM(AN38:AN44)</f>
        <v>0</v>
      </c>
      <c r="AO35" s="42">
        <f>SUM(AO38:AO44)</f>
        <v>4099175</v>
      </c>
      <c r="AP35" s="65">
        <f>SUM(AP38:AP44)</f>
        <v>0</v>
      </c>
      <c r="AQ35" s="65">
        <f>AK35+AM35+AN35+AO35+AP35</f>
        <v>39979550</v>
      </c>
      <c r="AR35" s="65">
        <f>AQ35/AB35*100</f>
        <v>99.948875000000001</v>
      </c>
      <c r="AS35" s="65">
        <f>AB35-AQ35</f>
        <v>20450</v>
      </c>
      <c r="AT35" s="65">
        <f>SUM(AT38:AT44)</f>
        <v>15457500</v>
      </c>
      <c r="AU35" s="65">
        <f>AT35+U35</f>
        <v>46027000</v>
      </c>
      <c r="AV35" s="65">
        <f>AK35</f>
        <v>35880375</v>
      </c>
      <c r="AW35" s="66">
        <f>AV35/AU35*100</f>
        <v>77.95505898711626</v>
      </c>
      <c r="AX35" s="65">
        <f>AU35-AV35</f>
        <v>10146625</v>
      </c>
      <c r="AY35" s="65">
        <f>AS35/AB35*100</f>
        <v>5.1124999999999997E-2</v>
      </c>
      <c r="AZ35" s="67">
        <f>AQ35-AO35</f>
        <v>35880375</v>
      </c>
      <c r="BA35" s="29">
        <f>AS35</f>
        <v>20450</v>
      </c>
    </row>
    <row r="36" spans="1:53" ht="20.100000000000001" hidden="1" customHeight="1">
      <c r="A36" s="68"/>
      <c r="B36" s="69"/>
      <c r="C36" s="240" t="s">
        <v>142</v>
      </c>
      <c r="D36" s="240"/>
      <c r="E36" s="241"/>
      <c r="F36" s="70"/>
      <c r="G36" s="71"/>
      <c r="H36" s="240" t="s">
        <v>143</v>
      </c>
      <c r="I36" s="240"/>
      <c r="J36" s="240"/>
      <c r="K36" s="241"/>
      <c r="L36" s="49"/>
      <c r="M36" s="49"/>
      <c r="N36" s="49"/>
      <c r="O36" s="49"/>
      <c r="P36" s="49"/>
      <c r="Q36" s="49"/>
      <c r="R36" s="72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>
        <f t="shared" si="16"/>
        <v>0</v>
      </c>
      <c r="AD36" s="49"/>
      <c r="AE36" s="49"/>
      <c r="AF36" s="49"/>
      <c r="AG36" s="49"/>
      <c r="AH36" s="49"/>
      <c r="AI36" s="49"/>
      <c r="AJ36" s="49"/>
      <c r="AK36" s="49"/>
      <c r="AL36" s="49"/>
      <c r="AM36" s="49"/>
      <c r="AN36" s="49"/>
      <c r="AO36" s="49"/>
      <c r="AP36" s="49"/>
      <c r="AQ36" s="49">
        <f>AQ35-AO35</f>
        <v>35880375</v>
      </c>
      <c r="AR36" s="49"/>
      <c r="AS36" s="49"/>
      <c r="AT36" s="49"/>
      <c r="AU36" s="49"/>
      <c r="AV36" s="49"/>
      <c r="AW36" s="49"/>
      <c r="AX36" s="49"/>
      <c r="AY36" s="49"/>
      <c r="AZ36" s="73">
        <f t="shared" ref="AZ36:AZ99" si="18">AQ36-AO36</f>
        <v>35880375</v>
      </c>
    </row>
    <row r="37" spans="1:53" ht="20.100000000000001" hidden="1" customHeight="1">
      <c r="A37" s="68"/>
      <c r="B37" s="69"/>
      <c r="C37" s="240" t="s">
        <v>144</v>
      </c>
      <c r="D37" s="240"/>
      <c r="E37" s="241"/>
      <c r="F37" s="70"/>
      <c r="G37" s="71"/>
      <c r="H37" s="71"/>
      <c r="I37" s="240" t="s">
        <v>145</v>
      </c>
      <c r="J37" s="240"/>
      <c r="K37" s="241"/>
      <c r="L37" s="49"/>
      <c r="M37" s="49"/>
      <c r="N37" s="49"/>
      <c r="O37" s="49"/>
      <c r="P37" s="49"/>
      <c r="Q37" s="49"/>
      <c r="R37" s="72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>
        <f t="shared" si="16"/>
        <v>0</v>
      </c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73">
        <f t="shared" si="18"/>
        <v>0</v>
      </c>
    </row>
    <row r="38" spans="1:53" ht="20.100000000000001" hidden="1" customHeight="1">
      <c r="A38" s="68"/>
      <c r="B38" s="69"/>
      <c r="C38" s="240" t="s">
        <v>146</v>
      </c>
      <c r="D38" s="240"/>
      <c r="E38" s="241"/>
      <c r="F38" s="70"/>
      <c r="G38" s="71"/>
      <c r="H38" s="71"/>
      <c r="I38" s="71"/>
      <c r="J38" s="240" t="s">
        <v>147</v>
      </c>
      <c r="K38" s="241"/>
      <c r="L38" s="49">
        <v>16366000</v>
      </c>
      <c r="M38" s="49">
        <v>6183000</v>
      </c>
      <c r="N38" s="49">
        <v>4091500</v>
      </c>
      <c r="O38" s="49"/>
      <c r="P38" s="49"/>
      <c r="Q38" s="49">
        <f>SUM(N38:P38)</f>
        <v>4091500</v>
      </c>
      <c r="R38" s="72">
        <f t="shared" si="14"/>
        <v>66.173378618793464</v>
      </c>
      <c r="S38" s="49">
        <f>M38-Q38</f>
        <v>2091500</v>
      </c>
      <c r="T38" s="49">
        <v>7091500</v>
      </c>
      <c r="U38" s="49">
        <f>T38+M38</f>
        <v>13274500</v>
      </c>
      <c r="V38" s="49">
        <f>T38+S38</f>
        <v>9183000</v>
      </c>
      <c r="W38" s="49">
        <v>4906700</v>
      </c>
      <c r="X38" s="49"/>
      <c r="Y38" s="49"/>
      <c r="Z38" s="49"/>
      <c r="AA38" s="49">
        <v>3091500</v>
      </c>
      <c r="AB38" s="49">
        <v>16366000</v>
      </c>
      <c r="AC38" s="49">
        <f t="shared" si="16"/>
        <v>0</v>
      </c>
      <c r="AD38" s="49">
        <f>AA38+T38+M38</f>
        <v>16366000</v>
      </c>
      <c r="AE38" s="49"/>
      <c r="AF38" s="49"/>
      <c r="AG38" s="49">
        <v>4246600</v>
      </c>
      <c r="AH38" s="49"/>
      <c r="AI38" s="49"/>
      <c r="AJ38" s="49">
        <v>3120800</v>
      </c>
      <c r="AK38" s="49">
        <f>Z38+Y38+X38+W38+N38+AG38+AJ38+AI38+AH38</f>
        <v>16365600</v>
      </c>
      <c r="AL38" s="49"/>
      <c r="AM38" s="49"/>
      <c r="AN38" s="49"/>
      <c r="AO38" s="49"/>
      <c r="AP38" s="49"/>
      <c r="AQ38" s="49">
        <f>AK38+AM38+AN38+AO38+AP38</f>
        <v>16365600</v>
      </c>
      <c r="AR38" s="49">
        <f>AQ38/AB38*100</f>
        <v>99.997555908590982</v>
      </c>
      <c r="AS38" s="49">
        <f>AB38-AQ38</f>
        <v>400</v>
      </c>
      <c r="AT38" s="49">
        <v>3091500</v>
      </c>
      <c r="AU38" s="49">
        <f>AT38+U38</f>
        <v>16366000</v>
      </c>
      <c r="AV38" s="49">
        <f>AK38</f>
        <v>16365600</v>
      </c>
      <c r="AW38" s="72">
        <f>AV38/AU38*100</f>
        <v>99.997555908590982</v>
      </c>
      <c r="AX38" s="49">
        <f>AU38-AV38</f>
        <v>400</v>
      </c>
      <c r="AY38" s="49">
        <f>AS38/AB38*100</f>
        <v>2.4440914090186972E-3</v>
      </c>
      <c r="AZ38" s="73">
        <f t="shared" si="18"/>
        <v>16365600</v>
      </c>
    </row>
    <row r="39" spans="1:53" ht="20.100000000000001" hidden="1" customHeight="1">
      <c r="A39" s="68"/>
      <c r="B39" s="69"/>
      <c r="C39" s="240" t="s">
        <v>148</v>
      </c>
      <c r="D39" s="240"/>
      <c r="E39" s="241"/>
      <c r="F39" s="70"/>
      <c r="G39" s="71"/>
      <c r="H39" s="71"/>
      <c r="I39" s="71"/>
      <c r="J39" s="240" t="s">
        <v>149</v>
      </c>
      <c r="K39" s="241"/>
      <c r="L39" s="49">
        <v>840000</v>
      </c>
      <c r="M39" s="49">
        <v>840000</v>
      </c>
      <c r="N39" s="49">
        <f>330000+99500</f>
        <v>429500</v>
      </c>
      <c r="O39" s="49"/>
      <c r="P39" s="49"/>
      <c r="Q39" s="49">
        <f>SUM(N39:P39)</f>
        <v>429500</v>
      </c>
      <c r="R39" s="72">
        <f t="shared" si="14"/>
        <v>51.13095238095238</v>
      </c>
      <c r="S39" s="49">
        <f>M39-Q39</f>
        <v>410500</v>
      </c>
      <c r="T39" s="49">
        <v>0</v>
      </c>
      <c r="U39" s="49">
        <f>T39+M39</f>
        <v>840000</v>
      </c>
      <c r="V39" s="49">
        <f>T39+S39</f>
        <v>410500</v>
      </c>
      <c r="W39" s="49">
        <v>117500</v>
      </c>
      <c r="X39" s="49"/>
      <c r="Y39" s="49"/>
      <c r="Z39" s="49"/>
      <c r="AA39" s="49">
        <v>0</v>
      </c>
      <c r="AB39" s="49">
        <v>840000</v>
      </c>
      <c r="AC39" s="49">
        <f t="shared" si="16"/>
        <v>0</v>
      </c>
      <c r="AD39" s="49">
        <f>AA39+T39+M39</f>
        <v>840000</v>
      </c>
      <c r="AE39" s="49"/>
      <c r="AF39" s="49"/>
      <c r="AG39" s="49">
        <v>89000</v>
      </c>
      <c r="AH39" s="49"/>
      <c r="AI39" s="49"/>
      <c r="AJ39" s="49">
        <v>204000</v>
      </c>
      <c r="AK39" s="49">
        <f>Z39+Y39+X39+W39+N39+AG39+AJ39+AI39+AH39</f>
        <v>840000</v>
      </c>
      <c r="AL39" s="49">
        <f>AK39/AD39*100</f>
        <v>100</v>
      </c>
      <c r="AM39" s="49"/>
      <c r="AN39" s="49"/>
      <c r="AO39" s="49"/>
      <c r="AP39" s="49"/>
      <c r="AQ39" s="49">
        <f>AK39+AM39+AN39+AO39+AP39</f>
        <v>840000</v>
      </c>
      <c r="AR39" s="49">
        <f>AQ39/AB39*100</f>
        <v>100</v>
      </c>
      <c r="AS39" s="49">
        <f>AB39-AQ39</f>
        <v>0</v>
      </c>
      <c r="AT39" s="49">
        <v>3091500</v>
      </c>
      <c r="AU39" s="49">
        <f>AT39+U39</f>
        <v>3931500</v>
      </c>
      <c r="AV39" s="49">
        <f>AK39</f>
        <v>840000</v>
      </c>
      <c r="AW39" s="72">
        <f>AV39/AU39*100</f>
        <v>21.365890881342999</v>
      </c>
      <c r="AX39" s="49">
        <f>AU39-AV39</f>
        <v>3091500</v>
      </c>
      <c r="AY39" s="49">
        <f>AS39/AB39*100</f>
        <v>0</v>
      </c>
      <c r="AZ39" s="73">
        <f t="shared" si="18"/>
        <v>840000</v>
      </c>
    </row>
    <row r="40" spans="1:53" ht="20.100000000000001" hidden="1" customHeight="1">
      <c r="A40" s="68"/>
      <c r="B40" s="69"/>
      <c r="C40" s="240" t="s">
        <v>150</v>
      </c>
      <c r="D40" s="240"/>
      <c r="E40" s="241"/>
      <c r="F40" s="70"/>
      <c r="G40" s="71"/>
      <c r="H40" s="71"/>
      <c r="I40" s="240" t="s">
        <v>151</v>
      </c>
      <c r="J40" s="240"/>
      <c r="K40" s="241"/>
      <c r="L40" s="49"/>
      <c r="M40" s="49"/>
      <c r="N40" s="49"/>
      <c r="O40" s="49"/>
      <c r="P40" s="49"/>
      <c r="Q40" s="49"/>
      <c r="R40" s="72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>
        <f t="shared" si="16"/>
        <v>0</v>
      </c>
      <c r="AD40" s="49"/>
      <c r="AE40" s="49"/>
      <c r="AF40" s="49"/>
      <c r="AG40" s="49"/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49"/>
      <c r="AX40" s="49"/>
      <c r="AY40" s="49"/>
      <c r="AZ40" s="73">
        <f t="shared" si="18"/>
        <v>0</v>
      </c>
    </row>
    <row r="41" spans="1:53" ht="20.100000000000001" hidden="1" customHeight="1">
      <c r="A41" s="68"/>
      <c r="B41" s="69"/>
      <c r="C41" s="240" t="s">
        <v>152</v>
      </c>
      <c r="D41" s="240"/>
      <c r="E41" s="241"/>
      <c r="F41" s="70"/>
      <c r="G41" s="71"/>
      <c r="H41" s="71"/>
      <c r="I41" s="71"/>
      <c r="J41" s="240" t="s">
        <v>153</v>
      </c>
      <c r="K41" s="241"/>
      <c r="L41" s="49">
        <v>9365000</v>
      </c>
      <c r="M41" s="49">
        <v>9365000</v>
      </c>
      <c r="N41" s="49"/>
      <c r="O41" s="49"/>
      <c r="P41" s="49"/>
      <c r="Q41" s="49">
        <f>SUM(N41:P41)</f>
        <v>0</v>
      </c>
      <c r="R41" s="72">
        <f t="shared" si="14"/>
        <v>0</v>
      </c>
      <c r="S41" s="49">
        <f>M41-Q41</f>
        <v>9365000</v>
      </c>
      <c r="T41" s="49">
        <v>0</v>
      </c>
      <c r="U41" s="49">
        <f>T41+M41</f>
        <v>9365000</v>
      </c>
      <c r="V41" s="49">
        <f>T41+S41</f>
        <v>9365000</v>
      </c>
      <c r="W41" s="49">
        <v>9365000</v>
      </c>
      <c r="X41" s="49"/>
      <c r="Y41" s="49"/>
      <c r="Z41" s="49"/>
      <c r="AA41" s="49">
        <v>0</v>
      </c>
      <c r="AB41" s="49">
        <v>9365000</v>
      </c>
      <c r="AC41" s="49">
        <f t="shared" si="16"/>
        <v>0</v>
      </c>
      <c r="AD41" s="49">
        <f>AA41+T41+M41</f>
        <v>9365000</v>
      </c>
      <c r="AE41" s="49"/>
      <c r="AF41" s="49"/>
      <c r="AG41" s="49">
        <v>0</v>
      </c>
      <c r="AH41" s="49"/>
      <c r="AI41" s="49"/>
      <c r="AJ41" s="49"/>
      <c r="AK41" s="49">
        <f>Z41+Y41+X41+W41+N41+AG41+AJ41+AI41+AH41</f>
        <v>9365000</v>
      </c>
      <c r="AL41" s="49">
        <f>AK41/AD41*100</f>
        <v>100</v>
      </c>
      <c r="AM41" s="49"/>
      <c r="AN41" s="49"/>
      <c r="AO41" s="49"/>
      <c r="AP41" s="49"/>
      <c r="AQ41" s="49">
        <f>AK41+AM41+AN41+AO41+AP41</f>
        <v>9365000</v>
      </c>
      <c r="AR41" s="49">
        <f>AQ41/AB41*100</f>
        <v>100</v>
      </c>
      <c r="AS41" s="49">
        <f>AB41-AQ41</f>
        <v>0</v>
      </c>
      <c r="AT41" s="49">
        <v>3091500</v>
      </c>
      <c r="AU41" s="49">
        <f>AT41+U41</f>
        <v>12456500</v>
      </c>
      <c r="AV41" s="49">
        <f>AK41</f>
        <v>9365000</v>
      </c>
      <c r="AW41" s="72">
        <f>AV41/AU41*100</f>
        <v>75.18163207963714</v>
      </c>
      <c r="AX41" s="49">
        <f>AU41-AV41</f>
        <v>3091500</v>
      </c>
      <c r="AY41" s="49">
        <f>AS41/AB41*100</f>
        <v>0</v>
      </c>
      <c r="AZ41" s="73">
        <f t="shared" si="18"/>
        <v>9365000</v>
      </c>
    </row>
    <row r="42" spans="1:53" ht="20.100000000000001" hidden="1" customHeight="1">
      <c r="A42" s="68"/>
      <c r="B42" s="69"/>
      <c r="C42" s="240" t="s">
        <v>154</v>
      </c>
      <c r="D42" s="240"/>
      <c r="E42" s="241"/>
      <c r="F42" s="70"/>
      <c r="G42" s="71"/>
      <c r="H42" s="71"/>
      <c r="I42" s="71"/>
      <c r="J42" s="240" t="s">
        <v>155</v>
      </c>
      <c r="K42" s="241"/>
      <c r="L42" s="49">
        <v>8749000</v>
      </c>
      <c r="M42" s="49">
        <v>3000000</v>
      </c>
      <c r="N42" s="49">
        <v>1499925</v>
      </c>
      <c r="O42" s="49"/>
      <c r="P42" s="49"/>
      <c r="Q42" s="49">
        <f>SUM(N42:P42)</f>
        <v>1499925</v>
      </c>
      <c r="R42" s="72">
        <f t="shared" si="14"/>
        <v>49.997500000000002</v>
      </c>
      <c r="S42" s="49">
        <f>M42-Q42</f>
        <v>1500075</v>
      </c>
      <c r="T42" s="49">
        <v>1750000</v>
      </c>
      <c r="U42" s="49">
        <f>T42+M42</f>
        <v>4750000</v>
      </c>
      <c r="V42" s="49">
        <f>T42+S42</f>
        <v>3250075</v>
      </c>
      <c r="W42" s="49">
        <v>1499925</v>
      </c>
      <c r="X42" s="49"/>
      <c r="Y42" s="49"/>
      <c r="Z42" s="49"/>
      <c r="AA42" s="49">
        <v>1500000</v>
      </c>
      <c r="AB42" s="49">
        <v>8749000</v>
      </c>
      <c r="AC42" s="49">
        <f t="shared" si="16"/>
        <v>0</v>
      </c>
      <c r="AD42" s="49">
        <f>AA42+T42+M42</f>
        <v>6250000</v>
      </c>
      <c r="AE42" s="49"/>
      <c r="AF42" s="49"/>
      <c r="AG42" s="49">
        <v>1750000</v>
      </c>
      <c r="AH42" s="49"/>
      <c r="AI42" s="49"/>
      <c r="AJ42" s="49">
        <v>1499925</v>
      </c>
      <c r="AK42" s="49">
        <f>Z42+Y42+X42+W42+N42+AG42+AJ42+AI42+AH42</f>
        <v>6249775</v>
      </c>
      <c r="AL42" s="49">
        <f>AK42/AD42*100</f>
        <v>99.996399999999994</v>
      </c>
      <c r="AM42" s="49"/>
      <c r="AN42" s="49"/>
      <c r="AO42" s="42">
        <f>1499225+999950</f>
        <v>2499175</v>
      </c>
      <c r="AP42" s="49"/>
      <c r="AQ42" s="49">
        <f>AK42+AM42+AN42+AO42+AP42</f>
        <v>8748950</v>
      </c>
      <c r="AR42" s="49">
        <f>AQ42/AB42*100</f>
        <v>99.999428506114981</v>
      </c>
      <c r="AS42" s="49">
        <f>AB42-AQ42</f>
        <v>50</v>
      </c>
      <c r="AT42" s="49">
        <v>3091500</v>
      </c>
      <c r="AU42" s="49">
        <f>AT42+U42</f>
        <v>7841500</v>
      </c>
      <c r="AV42" s="49">
        <f>AK42</f>
        <v>6249775</v>
      </c>
      <c r="AW42" s="72">
        <f>AV42/AU42*100</f>
        <v>79.701268889880765</v>
      </c>
      <c r="AX42" s="49">
        <f>AU42-AV42</f>
        <v>1591725</v>
      </c>
      <c r="AY42" s="49">
        <f>AS42/AB42*100</f>
        <v>5.7149388501543036E-4</v>
      </c>
      <c r="AZ42" s="73">
        <f t="shared" si="18"/>
        <v>6249775</v>
      </c>
    </row>
    <row r="43" spans="1:53" ht="20.100000000000001" hidden="1" customHeight="1">
      <c r="A43" s="68"/>
      <c r="B43" s="69"/>
      <c r="C43" s="240" t="s">
        <v>156</v>
      </c>
      <c r="D43" s="240"/>
      <c r="E43" s="241"/>
      <c r="F43" s="70"/>
      <c r="G43" s="71"/>
      <c r="H43" s="71"/>
      <c r="I43" s="240" t="s">
        <v>157</v>
      </c>
      <c r="J43" s="240"/>
      <c r="K43" s="241"/>
      <c r="L43" s="49"/>
      <c r="M43" s="49"/>
      <c r="N43" s="49"/>
      <c r="O43" s="49"/>
      <c r="P43" s="49"/>
      <c r="Q43" s="49"/>
      <c r="R43" s="72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>
        <f t="shared" si="16"/>
        <v>0</v>
      </c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>
        <f>AK43+AL43+AM43+AN43+AO43+AP43</f>
        <v>0</v>
      </c>
      <c r="AR43" s="49"/>
      <c r="AS43" s="49"/>
      <c r="AT43" s="49"/>
      <c r="AU43" s="49"/>
      <c r="AV43" s="49"/>
      <c r="AW43" s="49"/>
      <c r="AX43" s="49"/>
      <c r="AY43" s="49"/>
      <c r="AZ43" s="73">
        <f t="shared" si="18"/>
        <v>0</v>
      </c>
    </row>
    <row r="44" spans="1:53" ht="20.100000000000001" hidden="1" customHeight="1">
      <c r="A44" s="68"/>
      <c r="B44" s="69"/>
      <c r="C44" s="240" t="s">
        <v>158</v>
      </c>
      <c r="D44" s="240"/>
      <c r="E44" s="241"/>
      <c r="F44" s="70"/>
      <c r="G44" s="71"/>
      <c r="H44" s="71"/>
      <c r="I44" s="71"/>
      <c r="J44" s="240" t="s">
        <v>159</v>
      </c>
      <c r="K44" s="241"/>
      <c r="L44" s="49">
        <v>4680000</v>
      </c>
      <c r="M44" s="49">
        <v>1170000</v>
      </c>
      <c r="N44" s="49">
        <v>1120000</v>
      </c>
      <c r="O44" s="49"/>
      <c r="P44" s="49"/>
      <c r="Q44" s="49">
        <f>SUM(N44:P44)</f>
        <v>1120000</v>
      </c>
      <c r="R44" s="72">
        <f t="shared" si="14"/>
        <v>95.726495726495727</v>
      </c>
      <c r="S44" s="49">
        <f>M44-Q44</f>
        <v>50000</v>
      </c>
      <c r="T44" s="49">
        <v>1170000</v>
      </c>
      <c r="U44" s="49">
        <f>T44+M44</f>
        <v>2340000</v>
      </c>
      <c r="V44" s="49">
        <f>T44+S44</f>
        <v>1220000</v>
      </c>
      <c r="W44" s="49"/>
      <c r="X44" s="49"/>
      <c r="Y44" s="49"/>
      <c r="Z44" s="49"/>
      <c r="AA44" s="49">
        <v>1170000</v>
      </c>
      <c r="AB44" s="49">
        <v>4680000</v>
      </c>
      <c r="AC44" s="49">
        <f t="shared" si="16"/>
        <v>0</v>
      </c>
      <c r="AD44" s="49">
        <f>AA44+T44+M44</f>
        <v>3510000</v>
      </c>
      <c r="AE44" s="49">
        <v>1150000</v>
      </c>
      <c r="AF44" s="49">
        <v>0</v>
      </c>
      <c r="AG44" s="49">
        <v>0</v>
      </c>
      <c r="AH44" s="49"/>
      <c r="AI44" s="49"/>
      <c r="AJ44" s="49">
        <v>790000</v>
      </c>
      <c r="AK44" s="49">
        <f>Z44+Y44+X44+W44+N44+AG44+AJ44+AI44+AH44+1150000</f>
        <v>3060000</v>
      </c>
      <c r="AL44" s="49">
        <f>AK44/AD44*100</f>
        <v>87.179487179487182</v>
      </c>
      <c r="AM44" s="49"/>
      <c r="AN44" s="49"/>
      <c r="AO44" s="42">
        <v>1600000</v>
      </c>
      <c r="AP44" s="49"/>
      <c r="AQ44" s="49">
        <f>AK44+AM44+AN44+AO44+AP44</f>
        <v>4660000</v>
      </c>
      <c r="AR44" s="49">
        <f>AQ44/AB44*100</f>
        <v>99.572649572649567</v>
      </c>
      <c r="AS44" s="49">
        <f t="shared" ref="AS44:AS53" si="19">AB44-AQ44</f>
        <v>20000</v>
      </c>
      <c r="AT44" s="49">
        <v>3091500</v>
      </c>
      <c r="AU44" s="49">
        <f>AT44+U44</f>
        <v>5431500</v>
      </c>
      <c r="AV44" s="49">
        <f>AK44</f>
        <v>3060000</v>
      </c>
      <c r="AW44" s="72">
        <f>AV44/AU44*100</f>
        <v>56.338028169014088</v>
      </c>
      <c r="AX44" s="49">
        <f>AU44-AV44</f>
        <v>2371500</v>
      </c>
      <c r="AY44" s="49">
        <f>AS44/AB44*100</f>
        <v>0.42735042735042739</v>
      </c>
      <c r="AZ44" s="73">
        <f t="shared" si="18"/>
        <v>3060000</v>
      </c>
    </row>
    <row r="45" spans="1:53" ht="20.100000000000001" customHeight="1">
      <c r="A45" s="62">
        <v>2</v>
      </c>
      <c r="B45" s="63"/>
      <c r="C45" s="242" t="s">
        <v>160</v>
      </c>
      <c r="D45" s="242"/>
      <c r="E45" s="243"/>
      <c r="F45" s="64"/>
      <c r="G45" s="244" t="s">
        <v>1</v>
      </c>
      <c r="H45" s="244"/>
      <c r="I45" s="244"/>
      <c r="J45" s="244"/>
      <c r="K45" s="245"/>
      <c r="L45" s="65">
        <f>SUM(L48:L52)</f>
        <v>110000000</v>
      </c>
      <c r="M45" s="65">
        <f t="shared" ref="M45:T45" si="20">SUM(M48:M52)</f>
        <v>27501000</v>
      </c>
      <c r="N45" s="65">
        <f t="shared" si="20"/>
        <v>13012446</v>
      </c>
      <c r="O45" s="65">
        <f t="shared" si="20"/>
        <v>0</v>
      </c>
      <c r="P45" s="65">
        <f t="shared" si="20"/>
        <v>0</v>
      </c>
      <c r="Q45" s="65">
        <f>SUM(N45:P45)</f>
        <v>13012446</v>
      </c>
      <c r="R45" s="66">
        <f t="shared" si="14"/>
        <v>47.316264863095888</v>
      </c>
      <c r="S45" s="65">
        <f>M45-Q45</f>
        <v>14488554</v>
      </c>
      <c r="T45" s="65">
        <f t="shared" si="20"/>
        <v>27501000</v>
      </c>
      <c r="U45" s="65">
        <f>T45+M45</f>
        <v>55002000</v>
      </c>
      <c r="V45" s="65">
        <f>T45+S45</f>
        <v>41989554</v>
      </c>
      <c r="W45" s="65">
        <f>SUM(W48:W52)</f>
        <v>20696341</v>
      </c>
      <c r="X45" s="65">
        <f>SUM(X48:X52)</f>
        <v>0</v>
      </c>
      <c r="Y45" s="65">
        <f>SUM(Y48:Y52)</f>
        <v>0</v>
      </c>
      <c r="Z45" s="65"/>
      <c r="AA45" s="65">
        <v>27501000</v>
      </c>
      <c r="AB45" s="65">
        <f>SUM(AB48:AB52)</f>
        <v>97500000</v>
      </c>
      <c r="AC45" s="65">
        <f t="shared" si="16"/>
        <v>-12500000</v>
      </c>
      <c r="AD45" s="65">
        <f>AA45+T45+M45</f>
        <v>82503000</v>
      </c>
      <c r="AE45" s="65">
        <f t="shared" ref="AE45:AK45" si="21">SUM(AE48:AE52)</f>
        <v>0</v>
      </c>
      <c r="AF45" s="65">
        <f t="shared" si="21"/>
        <v>0</v>
      </c>
      <c r="AG45" s="65">
        <f t="shared" si="21"/>
        <v>20569647</v>
      </c>
      <c r="AH45" s="65">
        <f t="shared" si="21"/>
        <v>0</v>
      </c>
      <c r="AI45" s="65">
        <f t="shared" si="21"/>
        <v>0</v>
      </c>
      <c r="AJ45" s="65">
        <f t="shared" si="21"/>
        <v>6353822</v>
      </c>
      <c r="AK45" s="65">
        <f t="shared" si="21"/>
        <v>60632256</v>
      </c>
      <c r="AL45" s="65">
        <f>AK45/AB45*100</f>
        <v>62.186929230769231</v>
      </c>
      <c r="AM45" s="65">
        <f>SUM(AM48:AM52)</f>
        <v>0</v>
      </c>
      <c r="AN45" s="65">
        <f>SUM(AN48:AN52)</f>
        <v>0</v>
      </c>
      <c r="AO45" s="42">
        <f>SUM(AO48:AO52)</f>
        <v>14513137</v>
      </c>
      <c r="AP45" s="65">
        <f>SUM(AP48:AP52)</f>
        <v>0</v>
      </c>
      <c r="AQ45" s="65">
        <f>AK45+AM45+AN45+AO45+AP45</f>
        <v>75145393</v>
      </c>
      <c r="AR45" s="65">
        <f>AQ45/AB45*100</f>
        <v>77.072197948717942</v>
      </c>
      <c r="AS45" s="65">
        <f t="shared" si="19"/>
        <v>22354607</v>
      </c>
      <c r="AT45" s="65">
        <f>SUM(AT48:AT54)</f>
        <v>27823500</v>
      </c>
      <c r="AU45" s="65">
        <f>AT45+U45</f>
        <v>82825500</v>
      </c>
      <c r="AV45" s="65">
        <f>AK45</f>
        <v>60632256</v>
      </c>
      <c r="AW45" s="66">
        <f>AV45/AU45*100</f>
        <v>73.204817356973393</v>
      </c>
      <c r="AX45" s="65">
        <f>AU45-AV45</f>
        <v>22193244</v>
      </c>
      <c r="AY45" s="65">
        <f>AS45/AB45*100</f>
        <v>22.92780205128205</v>
      </c>
      <c r="AZ45" s="67">
        <f>AQ45-AO45</f>
        <v>60632256</v>
      </c>
    </row>
    <row r="46" spans="1:53" ht="20.100000000000001" hidden="1" customHeight="1">
      <c r="A46" s="68"/>
      <c r="B46" s="69"/>
      <c r="C46" s="240" t="s">
        <v>161</v>
      </c>
      <c r="D46" s="240"/>
      <c r="E46" s="241"/>
      <c r="F46" s="70"/>
      <c r="G46" s="71"/>
      <c r="H46" s="240" t="s">
        <v>143</v>
      </c>
      <c r="I46" s="240"/>
      <c r="J46" s="240"/>
      <c r="K46" s="241"/>
      <c r="L46" s="49"/>
      <c r="M46" s="49"/>
      <c r="N46" s="49"/>
      <c r="O46" s="49"/>
      <c r="P46" s="49"/>
      <c r="Q46" s="49"/>
      <c r="R46" s="72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>
        <f t="shared" si="16"/>
        <v>0</v>
      </c>
      <c r="AD46" s="49"/>
      <c r="AE46" s="49"/>
      <c r="AF46" s="49"/>
      <c r="AG46" s="49"/>
      <c r="AH46" s="49"/>
      <c r="AI46" s="49"/>
      <c r="AJ46" s="49"/>
      <c r="AK46" s="49"/>
      <c r="AL46" s="49"/>
      <c r="AM46" s="49"/>
      <c r="AN46" s="49"/>
      <c r="AO46" s="49"/>
      <c r="AP46" s="49"/>
      <c r="AQ46" s="49">
        <f>AK46+AL46+AM46+AN46+AO46+AP46</f>
        <v>0</v>
      </c>
      <c r="AR46" s="49"/>
      <c r="AS46" s="49">
        <f t="shared" si="19"/>
        <v>0</v>
      </c>
      <c r="AT46" s="49"/>
      <c r="AU46" s="49"/>
      <c r="AV46" s="49"/>
      <c r="AW46" s="49"/>
      <c r="AX46" s="49"/>
      <c r="AY46" s="49"/>
      <c r="AZ46" s="73">
        <f t="shared" si="18"/>
        <v>0</v>
      </c>
    </row>
    <row r="47" spans="1:53" ht="20.100000000000001" hidden="1" customHeight="1">
      <c r="A47" s="68"/>
      <c r="B47" s="69"/>
      <c r="C47" s="240" t="s">
        <v>162</v>
      </c>
      <c r="D47" s="240"/>
      <c r="E47" s="241"/>
      <c r="F47" s="70"/>
      <c r="G47" s="71"/>
      <c r="H47" s="71"/>
      <c r="I47" s="240" t="s">
        <v>163</v>
      </c>
      <c r="J47" s="240"/>
      <c r="K47" s="241"/>
      <c r="L47" s="49"/>
      <c r="M47" s="49"/>
      <c r="N47" s="49"/>
      <c r="O47" s="49"/>
      <c r="P47" s="49"/>
      <c r="Q47" s="49"/>
      <c r="R47" s="72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>
        <f t="shared" si="16"/>
        <v>0</v>
      </c>
      <c r="AD47" s="49"/>
      <c r="AE47" s="49"/>
      <c r="AF47" s="49"/>
      <c r="AG47" s="49"/>
      <c r="AH47" s="49"/>
      <c r="AI47" s="49"/>
      <c r="AJ47" s="49"/>
      <c r="AK47" s="49"/>
      <c r="AL47" s="49"/>
      <c r="AM47" s="49"/>
      <c r="AN47" s="49"/>
      <c r="AO47" s="49"/>
      <c r="AP47" s="49"/>
      <c r="AQ47" s="49">
        <f>AK47+AL47+AM47+AN47+AO47+AP47</f>
        <v>0</v>
      </c>
      <c r="AR47" s="49"/>
      <c r="AS47" s="49">
        <f t="shared" si="19"/>
        <v>0</v>
      </c>
      <c r="AT47" s="49"/>
      <c r="AU47" s="49"/>
      <c r="AV47" s="49"/>
      <c r="AW47" s="49"/>
      <c r="AX47" s="49"/>
      <c r="AY47" s="49"/>
      <c r="AZ47" s="73">
        <f t="shared" si="18"/>
        <v>0</v>
      </c>
    </row>
    <row r="48" spans="1:53" ht="20.100000000000001" hidden="1" customHeight="1">
      <c r="A48" s="68"/>
      <c r="B48" s="69"/>
      <c r="C48" s="240" t="s">
        <v>164</v>
      </c>
      <c r="D48" s="240"/>
      <c r="E48" s="241"/>
      <c r="F48" s="70"/>
      <c r="G48" s="71"/>
      <c r="H48" s="71"/>
      <c r="I48" s="71"/>
      <c r="J48" s="240" t="s">
        <v>165</v>
      </c>
      <c r="K48" s="241"/>
      <c r="L48" s="49">
        <v>14720000</v>
      </c>
      <c r="M48" s="49">
        <v>3681000</v>
      </c>
      <c r="N48" s="49">
        <v>1016899</v>
      </c>
      <c r="O48" s="49"/>
      <c r="P48" s="49"/>
      <c r="Q48" s="49">
        <f t="shared" ref="Q48:Q53" si="22">SUM(N48:P48)</f>
        <v>1016899</v>
      </c>
      <c r="R48" s="72">
        <f t="shared" si="14"/>
        <v>27.625618038576473</v>
      </c>
      <c r="S48" s="49">
        <f t="shared" ref="S48:S53" si="23">M48-Q48</f>
        <v>2664101</v>
      </c>
      <c r="T48" s="49">
        <v>3681000</v>
      </c>
      <c r="U48" s="49">
        <f t="shared" ref="U48:U53" si="24">T48+M48</f>
        <v>7362000</v>
      </c>
      <c r="V48" s="49">
        <f t="shared" ref="V48:V53" si="25">T48+S48</f>
        <v>6345101</v>
      </c>
      <c r="W48" s="49">
        <f>931843+501158</f>
        <v>1433001</v>
      </c>
      <c r="X48" s="49"/>
      <c r="Y48" s="49"/>
      <c r="Z48" s="49"/>
      <c r="AA48" s="49">
        <v>3681000</v>
      </c>
      <c r="AB48" s="49">
        <v>9600000</v>
      </c>
      <c r="AC48" s="49">
        <f>AB48-L48</f>
        <v>-5120000</v>
      </c>
      <c r="AD48" s="49">
        <f t="shared" ref="AD48:AD53" si="26">AA48+T48+M48</f>
        <v>11043000</v>
      </c>
      <c r="AE48" s="49"/>
      <c r="AF48" s="49"/>
      <c r="AG48" s="49">
        <f>806206+482299</f>
        <v>1288505</v>
      </c>
      <c r="AH48" s="49"/>
      <c r="AI48" s="49"/>
      <c r="AJ48" s="49">
        <v>348224</v>
      </c>
      <c r="AK48" s="49">
        <f>Z48+Y48+X48+W48+N48+AG48+AJ48+AI48+AH48</f>
        <v>4086629</v>
      </c>
      <c r="AL48" s="49">
        <f>AK48/AD48*100</f>
        <v>37.006510911889883</v>
      </c>
      <c r="AM48" s="49"/>
      <c r="AN48" s="49"/>
      <c r="AO48" s="42">
        <f>510228</f>
        <v>510228</v>
      </c>
      <c r="AP48" s="49"/>
      <c r="AQ48" s="49">
        <f t="shared" ref="AQ48:AQ53" si="27">AK48+AM48+AN48+AO48+AP48</f>
        <v>4596857</v>
      </c>
      <c r="AR48" s="49">
        <f t="shared" ref="AR48:AR53" si="28">AQ48/AB48*100</f>
        <v>47.883927083333333</v>
      </c>
      <c r="AS48" s="49">
        <f t="shared" si="19"/>
        <v>5003143</v>
      </c>
      <c r="AT48" s="49">
        <v>3091500</v>
      </c>
      <c r="AU48" s="49">
        <f t="shared" ref="AU48:AU53" si="29">AT48+U48</f>
        <v>10453500</v>
      </c>
      <c r="AV48" s="49">
        <f t="shared" ref="AV48:AV53" si="30">AK48</f>
        <v>4086629</v>
      </c>
      <c r="AW48" s="72">
        <f t="shared" ref="AW48:AW53" si="31">AV48/AU48*100</f>
        <v>39.093404123020996</v>
      </c>
      <c r="AX48" s="49">
        <f t="shared" ref="AX48:AX53" si="32">AU48-AV48</f>
        <v>6366871</v>
      </c>
      <c r="AY48" s="49">
        <f t="shared" ref="AY48:AY53" si="33">AS48/AB48*100</f>
        <v>52.116072916666667</v>
      </c>
      <c r="AZ48" s="73">
        <f t="shared" si="18"/>
        <v>4086629</v>
      </c>
    </row>
    <row r="49" spans="1:52" ht="20.100000000000001" hidden="1" customHeight="1">
      <c r="A49" s="68"/>
      <c r="B49" s="69"/>
      <c r="C49" s="240" t="s">
        <v>166</v>
      </c>
      <c r="D49" s="240"/>
      <c r="E49" s="241"/>
      <c r="F49" s="70"/>
      <c r="G49" s="71"/>
      <c r="H49" s="71"/>
      <c r="I49" s="71"/>
      <c r="J49" s="240" t="s">
        <v>167</v>
      </c>
      <c r="K49" s="241"/>
      <c r="L49" s="49">
        <v>10800000</v>
      </c>
      <c r="M49" s="49">
        <v>2700000</v>
      </c>
      <c r="N49" s="49">
        <v>1445050</v>
      </c>
      <c r="O49" s="49"/>
      <c r="P49" s="49"/>
      <c r="Q49" s="49">
        <f t="shared" si="22"/>
        <v>1445050</v>
      </c>
      <c r="R49" s="72">
        <f t="shared" si="14"/>
        <v>53.520370370370372</v>
      </c>
      <c r="S49" s="49">
        <f t="shared" si="23"/>
        <v>1254950</v>
      </c>
      <c r="T49" s="49">
        <v>2700000</v>
      </c>
      <c r="U49" s="49">
        <f t="shared" si="24"/>
        <v>5400000</v>
      </c>
      <c r="V49" s="49">
        <f t="shared" si="25"/>
        <v>3954950</v>
      </c>
      <c r="W49" s="49">
        <f>1481700+688850</f>
        <v>2170550</v>
      </c>
      <c r="X49" s="49"/>
      <c r="Y49" s="49"/>
      <c r="Z49" s="49"/>
      <c r="AA49" s="49">
        <v>2700000</v>
      </c>
      <c r="AB49" s="49">
        <v>9600000</v>
      </c>
      <c r="AC49" s="49">
        <f t="shared" ref="AC49:AC112" si="34">AB49-L49</f>
        <v>-1200000</v>
      </c>
      <c r="AD49" s="49">
        <f t="shared" si="26"/>
        <v>8100000</v>
      </c>
      <c r="AE49" s="49"/>
      <c r="AF49" s="49"/>
      <c r="AG49" s="49">
        <f>1094300+672100</f>
        <v>1766400</v>
      </c>
      <c r="AH49" s="49"/>
      <c r="AI49" s="49"/>
      <c r="AJ49" s="49">
        <v>399400</v>
      </c>
      <c r="AK49" s="49">
        <f>Z49+Y49+X49+W49+N49+AG49+AJ49+AI49+AH49</f>
        <v>5781400</v>
      </c>
      <c r="AL49" s="49">
        <f>AK49/AD49*100</f>
        <v>71.375308641975309</v>
      </c>
      <c r="AM49" s="49"/>
      <c r="AN49" s="49"/>
      <c r="AO49" s="42">
        <f>1207850</f>
        <v>1207850</v>
      </c>
      <c r="AP49" s="49"/>
      <c r="AQ49" s="49">
        <f t="shared" si="27"/>
        <v>6989250</v>
      </c>
      <c r="AR49" s="49">
        <f t="shared" si="28"/>
        <v>72.8046875</v>
      </c>
      <c r="AS49" s="49">
        <f t="shared" si="19"/>
        <v>2610750</v>
      </c>
      <c r="AT49" s="49">
        <v>3091500</v>
      </c>
      <c r="AU49" s="49">
        <f t="shared" si="29"/>
        <v>8491500</v>
      </c>
      <c r="AV49" s="49">
        <f t="shared" si="30"/>
        <v>5781400</v>
      </c>
      <c r="AW49" s="72">
        <f t="shared" si="31"/>
        <v>68.08455514337868</v>
      </c>
      <c r="AX49" s="49">
        <f t="shared" si="32"/>
        <v>2710100</v>
      </c>
      <c r="AY49" s="49">
        <f t="shared" si="33"/>
        <v>27.1953125</v>
      </c>
      <c r="AZ49" s="73">
        <f t="shared" si="18"/>
        <v>5781400</v>
      </c>
    </row>
    <row r="50" spans="1:52" ht="20.100000000000001" hidden="1" customHeight="1">
      <c r="A50" s="68"/>
      <c r="B50" s="69"/>
      <c r="C50" s="240" t="s">
        <v>168</v>
      </c>
      <c r="D50" s="240"/>
      <c r="E50" s="241"/>
      <c r="F50" s="70"/>
      <c r="G50" s="71"/>
      <c r="H50" s="71"/>
      <c r="I50" s="71"/>
      <c r="J50" s="240" t="s">
        <v>169</v>
      </c>
      <c r="K50" s="241"/>
      <c r="L50" s="49">
        <v>58800000</v>
      </c>
      <c r="M50" s="49">
        <v>14700000</v>
      </c>
      <c r="N50" s="49">
        <v>8098647</v>
      </c>
      <c r="O50" s="49"/>
      <c r="P50" s="49"/>
      <c r="Q50" s="49">
        <f t="shared" si="22"/>
        <v>8098647</v>
      </c>
      <c r="R50" s="72">
        <f t="shared" si="14"/>
        <v>55.092836734693876</v>
      </c>
      <c r="S50" s="49">
        <f t="shared" si="23"/>
        <v>6601353</v>
      </c>
      <c r="T50" s="49">
        <v>14700000</v>
      </c>
      <c r="U50" s="49">
        <f t="shared" si="24"/>
        <v>29400000</v>
      </c>
      <c r="V50" s="49">
        <f t="shared" si="25"/>
        <v>21301353</v>
      </c>
      <c r="W50" s="49">
        <f>8666744+4929971</f>
        <v>13596715</v>
      </c>
      <c r="X50" s="49"/>
      <c r="Y50" s="49"/>
      <c r="Z50" s="49"/>
      <c r="AA50" s="49">
        <v>14700000</v>
      </c>
      <c r="AB50" s="49">
        <v>56400000</v>
      </c>
      <c r="AC50" s="49">
        <f t="shared" si="34"/>
        <v>-2400000</v>
      </c>
      <c r="AD50" s="49">
        <f t="shared" si="26"/>
        <v>44100000</v>
      </c>
      <c r="AE50" s="49"/>
      <c r="AF50" s="49"/>
      <c r="AG50" s="49">
        <f>9141706+4987536</f>
        <v>14129242</v>
      </c>
      <c r="AH50" s="49"/>
      <c r="AI50" s="49"/>
      <c r="AJ50" s="49">
        <v>4461198</v>
      </c>
      <c r="AK50" s="49">
        <f>Z50+Y50+X50+W50+N50+AG50+AJ50+AI50+AH50</f>
        <v>40285802</v>
      </c>
      <c r="AL50" s="49">
        <f>AK50/AD50*100</f>
        <v>91.351024943310648</v>
      </c>
      <c r="AM50" s="49"/>
      <c r="AN50" s="49"/>
      <c r="AO50" s="42">
        <f>10505059</f>
        <v>10505059</v>
      </c>
      <c r="AP50" s="49"/>
      <c r="AQ50" s="49">
        <f t="shared" si="27"/>
        <v>50790861</v>
      </c>
      <c r="AR50" s="49">
        <f t="shared" si="28"/>
        <v>90.054718085106373</v>
      </c>
      <c r="AS50" s="49">
        <f t="shared" si="19"/>
        <v>5609139</v>
      </c>
      <c r="AT50" s="49">
        <v>3091500</v>
      </c>
      <c r="AU50" s="49">
        <f t="shared" si="29"/>
        <v>32491500</v>
      </c>
      <c r="AV50" s="49">
        <f t="shared" si="30"/>
        <v>40285802</v>
      </c>
      <c r="AW50" s="72">
        <f t="shared" si="31"/>
        <v>123.98874167089855</v>
      </c>
      <c r="AX50" s="49">
        <f t="shared" si="32"/>
        <v>-7794302</v>
      </c>
      <c r="AY50" s="49">
        <f t="shared" si="33"/>
        <v>9.9452819148936165</v>
      </c>
      <c r="AZ50" s="73">
        <f t="shared" si="18"/>
        <v>40285802</v>
      </c>
    </row>
    <row r="51" spans="1:52" ht="20.100000000000001" hidden="1" customHeight="1">
      <c r="A51" s="68"/>
      <c r="B51" s="69"/>
      <c r="C51" s="240" t="s">
        <v>170</v>
      </c>
      <c r="D51" s="240"/>
      <c r="E51" s="241"/>
      <c r="F51" s="70"/>
      <c r="G51" s="71"/>
      <c r="H51" s="71"/>
      <c r="I51" s="71"/>
      <c r="J51" s="240" t="s">
        <v>171</v>
      </c>
      <c r="K51" s="241"/>
      <c r="L51" s="49">
        <v>2880000</v>
      </c>
      <c r="M51" s="49">
        <v>720000</v>
      </c>
      <c r="N51" s="49">
        <f>95000+220000</f>
        <v>315000</v>
      </c>
      <c r="O51" s="49"/>
      <c r="P51" s="49"/>
      <c r="Q51" s="49">
        <f t="shared" si="22"/>
        <v>315000</v>
      </c>
      <c r="R51" s="72">
        <f t="shared" si="14"/>
        <v>43.75</v>
      </c>
      <c r="S51" s="49">
        <f t="shared" si="23"/>
        <v>405000</v>
      </c>
      <c r="T51" s="49">
        <v>720000</v>
      </c>
      <c r="U51" s="49">
        <f t="shared" si="24"/>
        <v>1440000</v>
      </c>
      <c r="V51" s="49">
        <f t="shared" si="25"/>
        <v>1125000</v>
      </c>
      <c r="W51" s="49">
        <f>190000+220000</f>
        <v>410000</v>
      </c>
      <c r="X51" s="49"/>
      <c r="Y51" s="49"/>
      <c r="Z51" s="49"/>
      <c r="AA51" s="49">
        <v>720000</v>
      </c>
      <c r="AB51" s="49">
        <v>2700000</v>
      </c>
      <c r="AC51" s="49">
        <f t="shared" si="34"/>
        <v>-180000</v>
      </c>
      <c r="AD51" s="49">
        <f t="shared" si="26"/>
        <v>2160000</v>
      </c>
      <c r="AE51" s="49"/>
      <c r="AF51" s="49"/>
      <c r="AG51" s="49">
        <f>220000+190000+110000+95000</f>
        <v>615000</v>
      </c>
      <c r="AH51" s="49"/>
      <c r="AI51" s="49"/>
      <c r="AJ51" s="49">
        <f>95000+110000</f>
        <v>205000</v>
      </c>
      <c r="AK51" s="49">
        <f>Z51+Y51+X51+W51+N51+AG51+AJ51+AI51+AH51</f>
        <v>1545000</v>
      </c>
      <c r="AL51" s="49">
        <f>AK51/AD51*100</f>
        <v>71.527777777777786</v>
      </c>
      <c r="AM51" s="49"/>
      <c r="AN51" s="49"/>
      <c r="AO51" s="42">
        <f>410000</f>
        <v>410000</v>
      </c>
      <c r="AP51" s="49"/>
      <c r="AQ51" s="49">
        <f t="shared" si="27"/>
        <v>1955000</v>
      </c>
      <c r="AR51" s="49">
        <f t="shared" si="28"/>
        <v>72.407407407407405</v>
      </c>
      <c r="AS51" s="49">
        <f t="shared" si="19"/>
        <v>745000</v>
      </c>
      <c r="AT51" s="49">
        <v>3091500</v>
      </c>
      <c r="AU51" s="49">
        <f t="shared" si="29"/>
        <v>4531500</v>
      </c>
      <c r="AV51" s="49">
        <f t="shared" si="30"/>
        <v>1545000</v>
      </c>
      <c r="AW51" s="72">
        <f t="shared" si="31"/>
        <v>34.094670638861302</v>
      </c>
      <c r="AX51" s="49">
        <f t="shared" si="32"/>
        <v>2986500</v>
      </c>
      <c r="AY51" s="49">
        <f t="shared" si="33"/>
        <v>27.592592592592592</v>
      </c>
      <c r="AZ51" s="73">
        <f t="shared" si="18"/>
        <v>1545000</v>
      </c>
    </row>
    <row r="52" spans="1:52" ht="20.100000000000001" hidden="1" customHeight="1">
      <c r="A52" s="68"/>
      <c r="B52" s="69"/>
      <c r="C52" s="240" t="s">
        <v>172</v>
      </c>
      <c r="D52" s="240"/>
      <c r="E52" s="241"/>
      <c r="F52" s="70"/>
      <c r="G52" s="71"/>
      <c r="H52" s="71"/>
      <c r="I52" s="71"/>
      <c r="J52" s="240" t="s">
        <v>173</v>
      </c>
      <c r="K52" s="241"/>
      <c r="L52" s="49">
        <v>22800000</v>
      </c>
      <c r="M52" s="49">
        <v>5700000</v>
      </c>
      <c r="N52" s="49">
        <v>2136850</v>
      </c>
      <c r="O52" s="49"/>
      <c r="P52" s="49"/>
      <c r="Q52" s="49">
        <f t="shared" si="22"/>
        <v>2136850</v>
      </c>
      <c r="R52" s="72">
        <f t="shared" si="14"/>
        <v>37.488596491228073</v>
      </c>
      <c r="S52" s="49">
        <f t="shared" si="23"/>
        <v>3563150</v>
      </c>
      <c r="T52" s="49">
        <v>5700000</v>
      </c>
      <c r="U52" s="49">
        <f t="shared" si="24"/>
        <v>11400000</v>
      </c>
      <c r="V52" s="49">
        <f t="shared" si="25"/>
        <v>9263150</v>
      </c>
      <c r="W52" s="49">
        <f>2128600+957475</f>
        <v>3086075</v>
      </c>
      <c r="X52" s="49"/>
      <c r="Y52" s="49"/>
      <c r="Z52" s="49"/>
      <c r="AA52" s="49">
        <v>5700000</v>
      </c>
      <c r="AB52" s="49">
        <v>19200000</v>
      </c>
      <c r="AC52" s="49">
        <f t="shared" si="34"/>
        <v>-3600000</v>
      </c>
      <c r="AD52" s="49">
        <f t="shared" si="26"/>
        <v>17100000</v>
      </c>
      <c r="AE52" s="49"/>
      <c r="AF52" s="49"/>
      <c r="AG52" s="49">
        <f>1847000+923500</f>
        <v>2770500</v>
      </c>
      <c r="AH52" s="49"/>
      <c r="AI52" s="49"/>
      <c r="AJ52" s="49">
        <v>940000</v>
      </c>
      <c r="AK52" s="49">
        <f>Z52+Y52+X52+W52+N52+AG52+AJ52+AI52+AH52</f>
        <v>8933425</v>
      </c>
      <c r="AL52" s="49">
        <f>AK52/AD52*100</f>
        <v>52.24225146198831</v>
      </c>
      <c r="AM52" s="49"/>
      <c r="AN52" s="49"/>
      <c r="AO52" s="42">
        <v>1880000</v>
      </c>
      <c r="AP52" s="49"/>
      <c r="AQ52" s="49">
        <f t="shared" si="27"/>
        <v>10813425</v>
      </c>
      <c r="AR52" s="49">
        <f t="shared" si="28"/>
        <v>56.319921874999999</v>
      </c>
      <c r="AS52" s="49">
        <f t="shared" si="19"/>
        <v>8386575</v>
      </c>
      <c r="AT52" s="49">
        <v>3091500</v>
      </c>
      <c r="AU52" s="49">
        <f t="shared" si="29"/>
        <v>14491500</v>
      </c>
      <c r="AV52" s="49">
        <f t="shared" si="30"/>
        <v>8933425</v>
      </c>
      <c r="AW52" s="72">
        <f t="shared" si="31"/>
        <v>61.645964875961766</v>
      </c>
      <c r="AX52" s="49">
        <f t="shared" si="32"/>
        <v>5558075</v>
      </c>
      <c r="AY52" s="49">
        <f t="shared" si="33"/>
        <v>43.680078125000001</v>
      </c>
      <c r="AZ52" s="73">
        <f t="shared" si="18"/>
        <v>8933425</v>
      </c>
    </row>
    <row r="53" spans="1:52" ht="20.100000000000001" customHeight="1">
      <c r="A53" s="62">
        <v>3</v>
      </c>
      <c r="B53" s="63"/>
      <c r="C53" s="242" t="s">
        <v>174</v>
      </c>
      <c r="D53" s="242"/>
      <c r="E53" s="243"/>
      <c r="F53" s="64"/>
      <c r="G53" s="244" t="s">
        <v>2</v>
      </c>
      <c r="H53" s="244"/>
      <c r="I53" s="244"/>
      <c r="J53" s="244"/>
      <c r="K53" s="245"/>
      <c r="L53" s="65">
        <f>SUM(L56:L68)</f>
        <v>70000000</v>
      </c>
      <c r="M53" s="65">
        <f>SUM(M56:M68)</f>
        <v>19590000</v>
      </c>
      <c r="N53" s="65">
        <f>SUM(N56:N68)</f>
        <v>17365825</v>
      </c>
      <c r="O53" s="65">
        <f>SUM(O56:O68)</f>
        <v>0</v>
      </c>
      <c r="P53" s="65">
        <f>SUM(P56:P68)</f>
        <v>0</v>
      </c>
      <c r="Q53" s="65">
        <f t="shared" si="22"/>
        <v>17365825</v>
      </c>
      <c r="R53" s="66">
        <f t="shared" si="14"/>
        <v>88.646375701888715</v>
      </c>
      <c r="S53" s="65">
        <f t="shared" si="23"/>
        <v>2224175</v>
      </c>
      <c r="T53" s="65">
        <f>SUM(T56:T68)</f>
        <v>18646000</v>
      </c>
      <c r="U53" s="65">
        <f t="shared" si="24"/>
        <v>38236000</v>
      </c>
      <c r="V53" s="65">
        <f t="shared" si="25"/>
        <v>20870175</v>
      </c>
      <c r="W53" s="65">
        <f>SUM(W56:W68)</f>
        <v>9930125</v>
      </c>
      <c r="X53" s="65">
        <f>SUM(X56:X68)</f>
        <v>0</v>
      </c>
      <c r="Y53" s="65">
        <f>SUM(Y56:Y68)</f>
        <v>0</v>
      </c>
      <c r="Z53" s="65"/>
      <c r="AA53" s="65">
        <f>SUM(AA56:AA68)</f>
        <v>19350000</v>
      </c>
      <c r="AB53" s="65">
        <f>SUM(AB56:AB68)</f>
        <v>70000000</v>
      </c>
      <c r="AC53" s="65">
        <f t="shared" si="34"/>
        <v>0</v>
      </c>
      <c r="AD53" s="65">
        <f t="shared" si="26"/>
        <v>57586000</v>
      </c>
      <c r="AE53" s="65">
        <f t="shared" ref="AE53:AK53" si="35">SUM(AE56:AE68)</f>
        <v>0</v>
      </c>
      <c r="AF53" s="65">
        <f t="shared" si="35"/>
        <v>0</v>
      </c>
      <c r="AG53" s="65">
        <f t="shared" si="35"/>
        <v>18824525</v>
      </c>
      <c r="AH53" s="65">
        <f t="shared" si="35"/>
        <v>0</v>
      </c>
      <c r="AI53" s="65">
        <f t="shared" si="35"/>
        <v>0</v>
      </c>
      <c r="AJ53" s="65">
        <f t="shared" si="35"/>
        <v>7374150</v>
      </c>
      <c r="AK53" s="65">
        <f t="shared" si="35"/>
        <v>53494625</v>
      </c>
      <c r="AL53" s="65">
        <f>AK53/AB53*100</f>
        <v>76.420892857142846</v>
      </c>
      <c r="AM53" s="65">
        <f>SUM(AM56:AM68)</f>
        <v>0</v>
      </c>
      <c r="AN53" s="65">
        <f>SUM(AN56:AN68)</f>
        <v>0</v>
      </c>
      <c r="AO53" s="42">
        <f>SUM(AO56:AO68)</f>
        <v>10466500</v>
      </c>
      <c r="AP53" s="65">
        <f>SUM(AP56:AP68)</f>
        <v>0</v>
      </c>
      <c r="AQ53" s="65">
        <f t="shared" si="27"/>
        <v>63961125</v>
      </c>
      <c r="AR53" s="65">
        <f t="shared" si="28"/>
        <v>91.373035714285706</v>
      </c>
      <c r="AS53" s="65">
        <f t="shared" si="19"/>
        <v>6038875</v>
      </c>
      <c r="AT53" s="65">
        <f>SUM(AT56:AT62)</f>
        <v>12366000</v>
      </c>
      <c r="AU53" s="65">
        <f t="shared" si="29"/>
        <v>50602000</v>
      </c>
      <c r="AV53" s="65">
        <f t="shared" si="30"/>
        <v>53494625</v>
      </c>
      <c r="AW53" s="66">
        <f t="shared" si="31"/>
        <v>105.71642425200585</v>
      </c>
      <c r="AX53" s="65">
        <f t="shared" si="32"/>
        <v>-2892625</v>
      </c>
      <c r="AY53" s="65">
        <f t="shared" si="33"/>
        <v>8.6269642857142852</v>
      </c>
      <c r="AZ53" s="67">
        <f t="shared" si="18"/>
        <v>53494625</v>
      </c>
    </row>
    <row r="54" spans="1:52" ht="20.100000000000001" hidden="1" customHeight="1">
      <c r="A54" s="68"/>
      <c r="B54" s="69"/>
      <c r="C54" s="240" t="s">
        <v>175</v>
      </c>
      <c r="D54" s="240"/>
      <c r="E54" s="241"/>
      <c r="F54" s="70"/>
      <c r="G54" s="71"/>
      <c r="H54" s="240" t="s">
        <v>10</v>
      </c>
      <c r="I54" s="240"/>
      <c r="J54" s="240"/>
      <c r="K54" s="241"/>
      <c r="L54" s="49"/>
      <c r="M54" s="49"/>
      <c r="N54" s="49"/>
      <c r="O54" s="49"/>
      <c r="P54" s="49"/>
      <c r="Q54" s="49"/>
      <c r="R54" s="72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>
        <f t="shared" si="34"/>
        <v>0</v>
      </c>
      <c r="AD54" s="49"/>
      <c r="AE54" s="49"/>
      <c r="AF54" s="49"/>
      <c r="AG54" s="49"/>
      <c r="AH54" s="49"/>
      <c r="AI54" s="49"/>
      <c r="AJ54" s="49"/>
      <c r="AK54" s="49"/>
      <c r="AL54" s="49"/>
      <c r="AM54" s="49"/>
      <c r="AN54" s="49"/>
      <c r="AO54" s="49"/>
      <c r="AP54" s="49"/>
      <c r="AQ54" s="49"/>
      <c r="AR54" s="49"/>
      <c r="AS54" s="49"/>
      <c r="AT54" s="49"/>
      <c r="AU54" s="49"/>
      <c r="AV54" s="49"/>
      <c r="AW54" s="49"/>
      <c r="AX54" s="49"/>
      <c r="AY54" s="49"/>
      <c r="AZ54" s="73">
        <f t="shared" si="18"/>
        <v>0</v>
      </c>
    </row>
    <row r="55" spans="1:52" ht="20.100000000000001" hidden="1" customHeight="1">
      <c r="A55" s="68"/>
      <c r="B55" s="69"/>
      <c r="C55" s="240" t="s">
        <v>176</v>
      </c>
      <c r="D55" s="240"/>
      <c r="E55" s="241"/>
      <c r="F55" s="70"/>
      <c r="G55" s="71"/>
      <c r="H55" s="71"/>
      <c r="I55" s="240" t="s">
        <v>177</v>
      </c>
      <c r="J55" s="240"/>
      <c r="K55" s="241"/>
      <c r="L55" s="49"/>
      <c r="M55" s="49"/>
      <c r="N55" s="49"/>
      <c r="O55" s="49"/>
      <c r="P55" s="49"/>
      <c r="Q55" s="49"/>
      <c r="R55" s="72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>
        <f t="shared" si="34"/>
        <v>0</v>
      </c>
      <c r="AD55" s="49"/>
      <c r="AE55" s="49"/>
      <c r="AF55" s="49"/>
      <c r="AG55" s="49"/>
      <c r="AH55" s="49"/>
      <c r="AI55" s="49"/>
      <c r="AJ55" s="49"/>
      <c r="AK55" s="49"/>
      <c r="AL55" s="49"/>
      <c r="AM55" s="49"/>
      <c r="AN55" s="49"/>
      <c r="AO55" s="49"/>
      <c r="AP55" s="49"/>
      <c r="AQ55" s="49"/>
      <c r="AR55" s="49"/>
      <c r="AS55" s="49"/>
      <c r="AT55" s="49"/>
      <c r="AU55" s="49"/>
      <c r="AV55" s="49"/>
      <c r="AW55" s="49"/>
      <c r="AX55" s="49"/>
      <c r="AY55" s="49"/>
      <c r="AZ55" s="73">
        <f t="shared" si="18"/>
        <v>0</v>
      </c>
    </row>
    <row r="56" spans="1:52" ht="20.100000000000001" hidden="1" customHeight="1">
      <c r="A56" s="68"/>
      <c r="B56" s="69"/>
      <c r="C56" s="240" t="s">
        <v>178</v>
      </c>
      <c r="D56" s="240"/>
      <c r="E56" s="241"/>
      <c r="F56" s="70"/>
      <c r="G56" s="71"/>
      <c r="H56" s="71"/>
      <c r="I56" s="71"/>
      <c r="J56" s="240" t="s">
        <v>179</v>
      </c>
      <c r="K56" s="241"/>
      <c r="L56" s="49">
        <v>31200000</v>
      </c>
      <c r="M56" s="49">
        <v>7800000</v>
      </c>
      <c r="N56" s="49">
        <v>7800000</v>
      </c>
      <c r="O56" s="49"/>
      <c r="P56" s="49"/>
      <c r="Q56" s="49">
        <f>SUM(N56:P56)</f>
        <v>7800000</v>
      </c>
      <c r="R56" s="72">
        <f t="shared" si="14"/>
        <v>100</v>
      </c>
      <c r="S56" s="49">
        <f>M56-Q56</f>
        <v>0</v>
      </c>
      <c r="T56" s="49">
        <v>7800000</v>
      </c>
      <c r="U56" s="49">
        <f>T56+M56</f>
        <v>15600000</v>
      </c>
      <c r="V56" s="49">
        <f>T56+S56</f>
        <v>7800000</v>
      </c>
      <c r="W56" s="49">
        <v>5200000</v>
      </c>
      <c r="X56" s="49"/>
      <c r="Y56" s="49"/>
      <c r="Z56" s="49"/>
      <c r="AA56" s="49">
        <v>7800000</v>
      </c>
      <c r="AB56" s="49">
        <v>31200000</v>
      </c>
      <c r="AC56" s="49">
        <f t="shared" si="34"/>
        <v>0</v>
      </c>
      <c r="AD56" s="49">
        <f>AA56+T56+M56</f>
        <v>23400000</v>
      </c>
      <c r="AE56" s="49"/>
      <c r="AF56" s="49"/>
      <c r="AG56" s="49">
        <f>2600000+2600000+2600000</f>
        <v>7800000</v>
      </c>
      <c r="AH56" s="49"/>
      <c r="AI56" s="49"/>
      <c r="AJ56" s="49">
        <v>2600000</v>
      </c>
      <c r="AK56" s="49">
        <f>Z56+Y56+X56+W56+N56+AG56+AJ56+AI56+AH56</f>
        <v>23400000</v>
      </c>
      <c r="AL56" s="49">
        <f>AK56/AD56*100</f>
        <v>100</v>
      </c>
      <c r="AM56" s="49"/>
      <c r="AN56" s="49"/>
      <c r="AO56" s="42">
        <v>5200000</v>
      </c>
      <c r="AP56" s="49"/>
      <c r="AQ56" s="49">
        <f>AK56+AM56+AN56+AO56+AP56</f>
        <v>28600000</v>
      </c>
      <c r="AR56" s="49">
        <f>AQ56/AB56*100</f>
        <v>91.666666666666657</v>
      </c>
      <c r="AS56" s="49">
        <f>AB56-AQ56</f>
        <v>2600000</v>
      </c>
      <c r="AT56" s="49">
        <v>3091500</v>
      </c>
      <c r="AU56" s="49">
        <f>AT56+U56</f>
        <v>18691500</v>
      </c>
      <c r="AV56" s="49">
        <f>AK56</f>
        <v>23400000</v>
      </c>
      <c r="AW56" s="72">
        <f>AV56/AU56*100</f>
        <v>125.1905946553246</v>
      </c>
      <c r="AX56" s="49">
        <f>AU56-AV56</f>
        <v>-4708500</v>
      </c>
      <c r="AY56" s="49">
        <f>AS56/AB56*100</f>
        <v>8.3333333333333321</v>
      </c>
      <c r="AZ56" s="73">
        <f t="shared" si="18"/>
        <v>23400000</v>
      </c>
    </row>
    <row r="57" spans="1:52" ht="20.100000000000001" hidden="1" customHeight="1">
      <c r="A57" s="68"/>
      <c r="B57" s="69"/>
      <c r="C57" s="240" t="s">
        <v>180</v>
      </c>
      <c r="D57" s="240"/>
      <c r="E57" s="241"/>
      <c r="F57" s="70"/>
      <c r="G57" s="71"/>
      <c r="H57" s="71"/>
      <c r="I57" s="240" t="s">
        <v>181</v>
      </c>
      <c r="J57" s="240"/>
      <c r="K57" s="241"/>
      <c r="L57" s="49"/>
      <c r="M57" s="49"/>
      <c r="N57" s="49"/>
      <c r="O57" s="49"/>
      <c r="P57" s="49"/>
      <c r="Q57" s="49"/>
      <c r="R57" s="72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>
        <f t="shared" si="34"/>
        <v>0</v>
      </c>
      <c r="AD57" s="49"/>
      <c r="AE57" s="49"/>
      <c r="AF57" s="49"/>
      <c r="AG57" s="49"/>
      <c r="AH57" s="49"/>
      <c r="AI57" s="49"/>
      <c r="AJ57" s="49"/>
      <c r="AK57" s="49"/>
      <c r="AL57" s="49"/>
      <c r="AM57" s="49"/>
      <c r="AN57" s="49"/>
      <c r="AO57" s="49"/>
      <c r="AP57" s="49"/>
      <c r="AQ57" s="49"/>
      <c r="AR57" s="49"/>
      <c r="AS57" s="49"/>
      <c r="AT57" s="49"/>
      <c r="AU57" s="49"/>
      <c r="AV57" s="49"/>
      <c r="AW57" s="49"/>
      <c r="AX57" s="49"/>
      <c r="AY57" s="49"/>
      <c r="AZ57" s="73">
        <f t="shared" si="18"/>
        <v>0</v>
      </c>
    </row>
    <row r="58" spans="1:52" ht="20.100000000000001" hidden="1" customHeight="1">
      <c r="A58" s="68"/>
      <c r="B58" s="69"/>
      <c r="C58" s="240" t="s">
        <v>182</v>
      </c>
      <c r="D58" s="240"/>
      <c r="E58" s="241"/>
      <c r="F58" s="70"/>
      <c r="G58" s="71"/>
      <c r="H58" s="71"/>
      <c r="I58" s="71"/>
      <c r="J58" s="240" t="s">
        <v>183</v>
      </c>
      <c r="K58" s="241"/>
      <c r="L58" s="49">
        <v>12064000</v>
      </c>
      <c r="M58" s="49">
        <v>2200000</v>
      </c>
      <c r="N58" s="49">
        <v>2069500</v>
      </c>
      <c r="O58" s="49"/>
      <c r="P58" s="49"/>
      <c r="Q58" s="49">
        <f>SUM(N58:P58)</f>
        <v>2069500</v>
      </c>
      <c r="R58" s="72">
        <f t="shared" si="14"/>
        <v>94.068181818181813</v>
      </c>
      <c r="S58" s="49">
        <f>M58-Q58</f>
        <v>130500</v>
      </c>
      <c r="T58" s="49">
        <v>4600000</v>
      </c>
      <c r="U58" s="49">
        <f>T58+M58</f>
        <v>6800000</v>
      </c>
      <c r="V58" s="49">
        <f>T58+S58</f>
        <v>4730500</v>
      </c>
      <c r="W58" s="49">
        <v>2534000</v>
      </c>
      <c r="X58" s="49"/>
      <c r="Y58" s="49"/>
      <c r="Z58" s="49"/>
      <c r="AA58" s="49">
        <v>3000000</v>
      </c>
      <c r="AB58" s="49">
        <v>12064000</v>
      </c>
      <c r="AC58" s="49">
        <f t="shared" si="34"/>
        <v>0</v>
      </c>
      <c r="AD58" s="49">
        <f>AA58+T58+M58</f>
        <v>9800000</v>
      </c>
      <c r="AE58" s="49"/>
      <c r="AF58" s="49"/>
      <c r="AG58" s="49">
        <f>2196000+2944000</f>
        <v>5140000</v>
      </c>
      <c r="AH58" s="49"/>
      <c r="AI58" s="49"/>
      <c r="AJ58" s="49"/>
      <c r="AK58" s="49">
        <f>Z58+Y58+X58+W58+N58+AG58+AJ58+AI58+AH58</f>
        <v>9743500</v>
      </c>
      <c r="AL58" s="49">
        <f>AK58/AD58*100</f>
        <v>99.423469387755105</v>
      </c>
      <c r="AM58" s="49"/>
      <c r="AN58" s="49"/>
      <c r="AO58" s="42">
        <v>2298500</v>
      </c>
      <c r="AP58" s="49"/>
      <c r="AQ58" s="49">
        <f>AK58+AM58+AN58+AO58+AP58</f>
        <v>12042000</v>
      </c>
      <c r="AR58" s="49">
        <f>AQ58/AB58*100</f>
        <v>99.817639257294431</v>
      </c>
      <c r="AS58" s="49">
        <f>AB58-AQ58</f>
        <v>22000</v>
      </c>
      <c r="AT58" s="49">
        <v>3091500</v>
      </c>
      <c r="AU58" s="49">
        <f>AT58+U58</f>
        <v>9891500</v>
      </c>
      <c r="AV58" s="49">
        <f>AK58</f>
        <v>9743500</v>
      </c>
      <c r="AW58" s="72">
        <f>AV58/AU58*100</f>
        <v>98.503765859576404</v>
      </c>
      <c r="AX58" s="49">
        <f>AU58-AV58</f>
        <v>148000</v>
      </c>
      <c r="AY58" s="49">
        <f>AS58/AB58*100</f>
        <v>0.18236074270557029</v>
      </c>
      <c r="AZ58" s="73">
        <f t="shared" si="18"/>
        <v>9743500</v>
      </c>
    </row>
    <row r="59" spans="1:52" ht="20.100000000000001" hidden="1" customHeight="1">
      <c r="A59" s="68"/>
      <c r="B59" s="69"/>
      <c r="C59" s="240" t="s">
        <v>184</v>
      </c>
      <c r="D59" s="240"/>
      <c r="E59" s="241"/>
      <c r="F59" s="70"/>
      <c r="G59" s="71"/>
      <c r="H59" s="240" t="s">
        <v>143</v>
      </c>
      <c r="I59" s="240"/>
      <c r="J59" s="240"/>
      <c r="K59" s="241"/>
      <c r="L59" s="49"/>
      <c r="M59" s="49"/>
      <c r="N59" s="49"/>
      <c r="O59" s="49"/>
      <c r="P59" s="49"/>
      <c r="Q59" s="49"/>
      <c r="R59" s="72"/>
      <c r="S59" s="49"/>
      <c r="T59" s="49"/>
      <c r="U59" s="49"/>
      <c r="V59" s="49" t="s">
        <v>185</v>
      </c>
      <c r="W59" s="49"/>
      <c r="X59" s="49"/>
      <c r="Y59" s="49"/>
      <c r="Z59" s="49"/>
      <c r="AA59" s="49"/>
      <c r="AB59" s="49"/>
      <c r="AC59" s="49">
        <f t="shared" si="34"/>
        <v>0</v>
      </c>
      <c r="AD59" s="49"/>
      <c r="AE59" s="49"/>
      <c r="AF59" s="49"/>
      <c r="AG59" s="49"/>
      <c r="AH59" s="49"/>
      <c r="AI59" s="49"/>
      <c r="AJ59" s="49"/>
      <c r="AK59" s="49"/>
      <c r="AL59" s="49"/>
      <c r="AM59" s="49"/>
      <c r="AN59" s="49"/>
      <c r="AO59" s="49"/>
      <c r="AP59" s="49"/>
      <c r="AQ59" s="49">
        <f>AK59+AL59+AM59+AN59+AO59+AP59</f>
        <v>0</v>
      </c>
      <c r="AR59" s="49"/>
      <c r="AS59" s="49">
        <f>AB59-AQ59</f>
        <v>0</v>
      </c>
      <c r="AT59" s="49"/>
      <c r="AU59" s="49"/>
      <c r="AV59" s="49"/>
      <c r="AW59" s="49"/>
      <c r="AX59" s="49"/>
      <c r="AY59" s="49"/>
      <c r="AZ59" s="73">
        <f t="shared" si="18"/>
        <v>0</v>
      </c>
    </row>
    <row r="60" spans="1:52" ht="20.100000000000001" hidden="1" customHeight="1">
      <c r="A60" s="68"/>
      <c r="B60" s="69"/>
      <c r="C60" s="240" t="s">
        <v>186</v>
      </c>
      <c r="D60" s="240"/>
      <c r="E60" s="241"/>
      <c r="F60" s="70"/>
      <c r="G60" s="71"/>
      <c r="H60" s="71"/>
      <c r="I60" s="240" t="s">
        <v>145</v>
      </c>
      <c r="J60" s="240"/>
      <c r="K60" s="241"/>
      <c r="L60" s="49"/>
      <c r="M60" s="49"/>
      <c r="N60" s="49"/>
      <c r="O60" s="49"/>
      <c r="P60" s="49"/>
      <c r="Q60" s="49"/>
      <c r="R60" s="72"/>
      <c r="S60" s="49"/>
      <c r="T60" s="49"/>
      <c r="U60" s="49"/>
      <c r="V60" s="49" t="s">
        <v>187</v>
      </c>
      <c r="W60" s="49"/>
      <c r="X60" s="49"/>
      <c r="Y60" s="49"/>
      <c r="Z60" s="49"/>
      <c r="AA60" s="49"/>
      <c r="AB60" s="49"/>
      <c r="AC60" s="49">
        <f t="shared" si="34"/>
        <v>0</v>
      </c>
      <c r="AD60" s="49"/>
      <c r="AE60" s="49"/>
      <c r="AF60" s="49"/>
      <c r="AG60" s="49"/>
      <c r="AH60" s="49"/>
      <c r="AI60" s="49"/>
      <c r="AJ60" s="49"/>
      <c r="AK60" s="49"/>
      <c r="AL60" s="49"/>
      <c r="AM60" s="49"/>
      <c r="AN60" s="49"/>
      <c r="AO60" s="49"/>
      <c r="AP60" s="49"/>
      <c r="AQ60" s="49">
        <f>AK60+AL60+AM60+AN60+AO60+AP60</f>
        <v>0</v>
      </c>
      <c r="AR60" s="49"/>
      <c r="AS60" s="49">
        <f>AB60-AQ60</f>
        <v>0</v>
      </c>
      <c r="AT60" s="49"/>
      <c r="AU60" s="49"/>
      <c r="AV60" s="49"/>
      <c r="AW60" s="49"/>
      <c r="AX60" s="49"/>
      <c r="AY60" s="49"/>
      <c r="AZ60" s="73">
        <f t="shared" si="18"/>
        <v>0</v>
      </c>
    </row>
    <row r="61" spans="1:52" ht="20.100000000000001" hidden="1" customHeight="1">
      <c r="A61" s="68"/>
      <c r="B61" s="69"/>
      <c r="C61" s="240" t="s">
        <v>188</v>
      </c>
      <c r="D61" s="240"/>
      <c r="E61" s="241"/>
      <c r="F61" s="70"/>
      <c r="G61" s="71"/>
      <c r="H61" s="71"/>
      <c r="I61" s="71"/>
      <c r="J61" s="240" t="s">
        <v>147</v>
      </c>
      <c r="K61" s="241"/>
      <c r="L61" s="49">
        <v>9146000</v>
      </c>
      <c r="M61" s="49">
        <v>3200000</v>
      </c>
      <c r="N61" s="49">
        <v>3196400</v>
      </c>
      <c r="O61" s="49"/>
      <c r="P61" s="49"/>
      <c r="Q61" s="49">
        <f>SUM(N61:P61)</f>
        <v>3196400</v>
      </c>
      <c r="R61" s="72">
        <f t="shared" si="14"/>
        <v>99.887499999999989</v>
      </c>
      <c r="S61" s="49">
        <f>M61-Q61</f>
        <v>3600</v>
      </c>
      <c r="T61" s="49">
        <v>1446000</v>
      </c>
      <c r="U61" s="49">
        <f>T61+M61</f>
        <v>4646000</v>
      </c>
      <c r="V61" s="49">
        <f>T61+S61</f>
        <v>1449600</v>
      </c>
      <c r="W61" s="49"/>
      <c r="X61" s="49"/>
      <c r="Y61" s="49"/>
      <c r="Z61" s="49"/>
      <c r="AA61" s="49">
        <v>4500000</v>
      </c>
      <c r="AB61" s="49">
        <v>9146000</v>
      </c>
      <c r="AC61" s="49">
        <f t="shared" si="34"/>
        <v>0</v>
      </c>
      <c r="AD61" s="49">
        <f>AA61+T61+M61</f>
        <v>9146000</v>
      </c>
      <c r="AE61" s="49"/>
      <c r="AF61" s="49"/>
      <c r="AG61" s="49">
        <v>3245400</v>
      </c>
      <c r="AH61" s="49"/>
      <c r="AI61" s="49"/>
      <c r="AJ61" s="49">
        <f>2344150+360000</f>
        <v>2704150</v>
      </c>
      <c r="AK61" s="49">
        <f>Z61+Y61+X61+W61+N61+AG61+AJ61+AI61+AH61</f>
        <v>9145950</v>
      </c>
      <c r="AL61" s="49">
        <f>AK61/AD61*100</f>
        <v>99.999453312923677</v>
      </c>
      <c r="AM61" s="49"/>
      <c r="AN61" s="49"/>
      <c r="AO61" s="49"/>
      <c r="AP61" s="49"/>
      <c r="AQ61" s="49">
        <f>AK61+AM61+AN61+AO61+AP61</f>
        <v>9145950</v>
      </c>
      <c r="AR61" s="49">
        <f>AQ61/AB61*100</f>
        <v>99.999453312923677</v>
      </c>
      <c r="AS61" s="49">
        <f>AB61-AQ61</f>
        <v>50</v>
      </c>
      <c r="AT61" s="49">
        <v>3091500</v>
      </c>
      <c r="AU61" s="49">
        <f>AT61+U61</f>
        <v>7737500</v>
      </c>
      <c r="AV61" s="49">
        <f>AK61</f>
        <v>9145950</v>
      </c>
      <c r="AW61" s="72">
        <f>AV61/AU61*100</f>
        <v>118.20290791599352</v>
      </c>
      <c r="AX61" s="49">
        <f>AU61-AV61</f>
        <v>-1408450</v>
      </c>
      <c r="AY61" s="49">
        <f>AS61/AB61*100</f>
        <v>5.4668707631751591E-4</v>
      </c>
      <c r="AZ61" s="73">
        <f t="shared" si="18"/>
        <v>9145950</v>
      </c>
    </row>
    <row r="62" spans="1:52" ht="20.100000000000001" hidden="1" customHeight="1">
      <c r="A62" s="68"/>
      <c r="B62" s="69"/>
      <c r="C62" s="240" t="s">
        <v>189</v>
      </c>
      <c r="D62" s="240"/>
      <c r="E62" s="241"/>
      <c r="F62" s="70"/>
      <c r="G62" s="71"/>
      <c r="H62" s="71"/>
      <c r="I62" s="71"/>
      <c r="J62" s="240" t="s">
        <v>149</v>
      </c>
      <c r="K62" s="241"/>
      <c r="L62" s="49">
        <v>510000</v>
      </c>
      <c r="M62" s="49">
        <v>510000</v>
      </c>
      <c r="N62" s="49">
        <v>510000</v>
      </c>
      <c r="O62" s="49"/>
      <c r="P62" s="49"/>
      <c r="Q62" s="49">
        <f>SUM(N62:P62)</f>
        <v>510000</v>
      </c>
      <c r="R62" s="72">
        <f t="shared" si="14"/>
        <v>100</v>
      </c>
      <c r="S62" s="49">
        <f>M62-Q62</f>
        <v>0</v>
      </c>
      <c r="T62" s="49">
        <v>0</v>
      </c>
      <c r="U62" s="49">
        <f>T62+M62</f>
        <v>510000</v>
      </c>
      <c r="V62" s="49">
        <f>T62+S62</f>
        <v>0</v>
      </c>
      <c r="W62" s="49"/>
      <c r="X62" s="49"/>
      <c r="Y62" s="49"/>
      <c r="Z62" s="49"/>
      <c r="AA62" s="49">
        <v>0</v>
      </c>
      <c r="AB62" s="49">
        <v>510000</v>
      </c>
      <c r="AC62" s="49">
        <f t="shared" si="34"/>
        <v>0</v>
      </c>
      <c r="AD62" s="49">
        <f>AA62+T62+M62</f>
        <v>510000</v>
      </c>
      <c r="AE62" s="49"/>
      <c r="AF62" s="49"/>
      <c r="AG62" s="49"/>
      <c r="AH62" s="49"/>
      <c r="AI62" s="49"/>
      <c r="AJ62" s="49"/>
      <c r="AK62" s="49">
        <f>Z62+Y62+X62+W62+N62+AG62+AJ62+AI62+AH62</f>
        <v>510000</v>
      </c>
      <c r="AL62" s="49">
        <f>AK62/AD62*100</f>
        <v>100</v>
      </c>
      <c r="AM62" s="49"/>
      <c r="AN62" s="49"/>
      <c r="AO62" s="49"/>
      <c r="AP62" s="49"/>
      <c r="AQ62" s="49">
        <f>AK62+AM62+AN62+AO62+AP62</f>
        <v>510000</v>
      </c>
      <c r="AR62" s="49">
        <f>AQ62/AB62*100</f>
        <v>100</v>
      </c>
      <c r="AS62" s="49">
        <f>AB62-AQ62</f>
        <v>0</v>
      </c>
      <c r="AT62" s="49">
        <v>3091500</v>
      </c>
      <c r="AU62" s="49">
        <f>AT62+U62</f>
        <v>3601500</v>
      </c>
      <c r="AV62" s="49">
        <f>AK62</f>
        <v>510000</v>
      </c>
      <c r="AW62" s="72">
        <f>AV62/AU62*100</f>
        <v>14.160766347355269</v>
      </c>
      <c r="AX62" s="49">
        <f>AU62-AV62</f>
        <v>3091500</v>
      </c>
      <c r="AY62" s="49">
        <f>AS62/AB62*100</f>
        <v>0</v>
      </c>
      <c r="AZ62" s="73">
        <f t="shared" si="18"/>
        <v>510000</v>
      </c>
    </row>
    <row r="63" spans="1:52" ht="20.100000000000001" hidden="1" customHeight="1">
      <c r="A63" s="68"/>
      <c r="B63" s="69"/>
      <c r="C63" s="240" t="s">
        <v>190</v>
      </c>
      <c r="D63" s="240"/>
      <c r="E63" s="241"/>
      <c r="F63" s="70"/>
      <c r="G63" s="71"/>
      <c r="H63" s="71"/>
      <c r="I63" s="240" t="s">
        <v>151</v>
      </c>
      <c r="J63" s="240"/>
      <c r="K63" s="241"/>
      <c r="L63" s="49"/>
      <c r="M63" s="49"/>
      <c r="N63" s="49"/>
      <c r="O63" s="49"/>
      <c r="P63" s="49"/>
      <c r="Q63" s="49"/>
      <c r="R63" s="72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>
        <f t="shared" si="34"/>
        <v>0</v>
      </c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>
        <f>AK63+AL63+AM63+AN63+AO63+AP63</f>
        <v>0</v>
      </c>
      <c r="AR63" s="49"/>
      <c r="AS63" s="49"/>
      <c r="AT63" s="49"/>
      <c r="AU63" s="49"/>
      <c r="AV63" s="49"/>
      <c r="AW63" s="49"/>
      <c r="AX63" s="49"/>
      <c r="AY63" s="49"/>
      <c r="AZ63" s="73">
        <f t="shared" si="18"/>
        <v>0</v>
      </c>
    </row>
    <row r="64" spans="1:52" ht="20.100000000000001" hidden="1" customHeight="1">
      <c r="A64" s="68"/>
      <c r="B64" s="69"/>
      <c r="C64" s="240" t="s">
        <v>191</v>
      </c>
      <c r="D64" s="240"/>
      <c r="E64" s="241"/>
      <c r="F64" s="70"/>
      <c r="G64" s="71"/>
      <c r="H64" s="71"/>
      <c r="I64" s="71"/>
      <c r="J64" s="240" t="s">
        <v>155</v>
      </c>
      <c r="K64" s="241"/>
      <c r="L64" s="49">
        <v>7000000</v>
      </c>
      <c r="M64" s="49">
        <v>2180000</v>
      </c>
      <c r="N64" s="49">
        <v>1429925</v>
      </c>
      <c r="O64" s="49"/>
      <c r="P64" s="49"/>
      <c r="Q64" s="49">
        <f>SUM(N64:P64)</f>
        <v>1429925</v>
      </c>
      <c r="R64" s="72">
        <f t="shared" si="14"/>
        <v>65.592889908256879</v>
      </c>
      <c r="S64" s="49">
        <f>M64-Q64</f>
        <v>750075</v>
      </c>
      <c r="T64" s="49">
        <v>1800000</v>
      </c>
      <c r="U64" s="49">
        <f>T64+M64</f>
        <v>3980000</v>
      </c>
      <c r="V64" s="49">
        <f>T64+S64</f>
        <v>2550075</v>
      </c>
      <c r="W64" s="49">
        <f>910875+215250</f>
        <v>1126125</v>
      </c>
      <c r="X64" s="49"/>
      <c r="Y64" s="49"/>
      <c r="Z64" s="49"/>
      <c r="AA64" s="49">
        <v>1470000</v>
      </c>
      <c r="AB64" s="49">
        <v>7000000</v>
      </c>
      <c r="AC64" s="49">
        <f t="shared" si="34"/>
        <v>0</v>
      </c>
      <c r="AD64" s="49">
        <f>AA64+T64+M64</f>
        <v>5450000</v>
      </c>
      <c r="AE64" s="49"/>
      <c r="AF64" s="49"/>
      <c r="AG64" s="49">
        <v>1679125</v>
      </c>
      <c r="AH64" s="49"/>
      <c r="AI64" s="49"/>
      <c r="AJ64" s="49"/>
      <c r="AK64" s="49">
        <f>Z64+Y64+X64+W64+N64+AG64+AJ64+AI64+AH64</f>
        <v>4235175</v>
      </c>
      <c r="AL64" s="49">
        <f>AK64/AD64*100</f>
        <v>77.709633027522941</v>
      </c>
      <c r="AM64" s="49"/>
      <c r="AN64" s="49"/>
      <c r="AO64" s="42">
        <v>1848000</v>
      </c>
      <c r="AP64" s="49"/>
      <c r="AQ64" s="49">
        <f>AK64+AM64+AN64+AO64+AP64</f>
        <v>6083175</v>
      </c>
      <c r="AR64" s="49">
        <f>AQ64/AB64*100</f>
        <v>86.902500000000003</v>
      </c>
      <c r="AS64" s="49">
        <f t="shared" ref="AS64:AS69" si="36">AB64-AQ64</f>
        <v>916825</v>
      </c>
      <c r="AT64" s="49">
        <v>3091500</v>
      </c>
      <c r="AU64" s="49">
        <f>AT64+U64</f>
        <v>7071500</v>
      </c>
      <c r="AV64" s="49">
        <f>AK64</f>
        <v>4235175</v>
      </c>
      <c r="AW64" s="72">
        <f>AV64/AU64*100</f>
        <v>59.890758679205256</v>
      </c>
      <c r="AX64" s="49">
        <f>AU64-AV64</f>
        <v>2836325</v>
      </c>
      <c r="AY64" s="49">
        <f>AS64/AB64*100</f>
        <v>13.0975</v>
      </c>
      <c r="AZ64" s="73">
        <f t="shared" si="18"/>
        <v>4235175</v>
      </c>
    </row>
    <row r="65" spans="1:54" ht="20.100000000000001" hidden="1" customHeight="1">
      <c r="A65" s="68"/>
      <c r="B65" s="69"/>
      <c r="C65" s="240" t="s">
        <v>192</v>
      </c>
      <c r="D65" s="240"/>
      <c r="E65" s="241"/>
      <c r="F65" s="70"/>
      <c r="G65" s="71"/>
      <c r="H65" s="71"/>
      <c r="I65" s="240" t="s">
        <v>193</v>
      </c>
      <c r="J65" s="240"/>
      <c r="K65" s="241"/>
      <c r="L65" s="49"/>
      <c r="M65" s="49"/>
      <c r="N65" s="49"/>
      <c r="O65" s="49"/>
      <c r="P65" s="49"/>
      <c r="Q65" s="49"/>
      <c r="R65" s="72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>
        <f t="shared" si="34"/>
        <v>0</v>
      </c>
      <c r="AD65" s="49"/>
      <c r="AE65" s="49"/>
      <c r="AF65" s="49"/>
      <c r="AG65" s="74"/>
      <c r="AH65" s="74"/>
      <c r="AI65" s="74"/>
      <c r="AJ65" s="74"/>
      <c r="AK65" s="49"/>
      <c r="AL65" s="49"/>
      <c r="AM65" s="49"/>
      <c r="AN65" s="49"/>
      <c r="AO65" s="49"/>
      <c r="AP65" s="49"/>
      <c r="AQ65" s="49">
        <f>AK65+AL65+AM65+AN65+AO65+AP65</f>
        <v>0</v>
      </c>
      <c r="AR65" s="49"/>
      <c r="AS65" s="49">
        <f t="shared" si="36"/>
        <v>0</v>
      </c>
      <c r="AT65" s="49"/>
      <c r="AU65" s="49"/>
      <c r="AV65" s="49"/>
      <c r="AW65" s="49"/>
      <c r="AX65" s="49"/>
      <c r="AY65" s="49"/>
      <c r="AZ65" s="73">
        <f t="shared" si="18"/>
        <v>0</v>
      </c>
    </row>
    <row r="66" spans="1:54" ht="20.100000000000001" hidden="1" customHeight="1">
      <c r="A66" s="68"/>
      <c r="B66" s="69"/>
      <c r="C66" s="240" t="s">
        <v>194</v>
      </c>
      <c r="D66" s="240"/>
      <c r="E66" s="241"/>
      <c r="F66" s="70"/>
      <c r="G66" s="71"/>
      <c r="H66" s="71"/>
      <c r="I66" s="71"/>
      <c r="J66" s="240" t="s">
        <v>195</v>
      </c>
      <c r="K66" s="241"/>
      <c r="L66" s="49">
        <v>2500000</v>
      </c>
      <c r="M66" s="49">
        <v>1400000</v>
      </c>
      <c r="N66" s="49">
        <v>1400000</v>
      </c>
      <c r="O66" s="49"/>
      <c r="P66" s="49"/>
      <c r="Q66" s="49">
        <f>SUM(N66:P66)</f>
        <v>1400000</v>
      </c>
      <c r="R66" s="72">
        <f t="shared" si="14"/>
        <v>100</v>
      </c>
      <c r="S66" s="49">
        <f>M66-Q66</f>
        <v>0</v>
      </c>
      <c r="T66" s="49">
        <v>1100000</v>
      </c>
      <c r="U66" s="49">
        <f>T66+M66</f>
        <v>2500000</v>
      </c>
      <c r="V66" s="49">
        <f>T66+S66</f>
        <v>1100000</v>
      </c>
      <c r="W66" s="49"/>
      <c r="X66" s="49"/>
      <c r="Y66" s="49"/>
      <c r="Z66" s="49"/>
      <c r="AA66" s="49">
        <v>0</v>
      </c>
      <c r="AB66" s="49">
        <v>2500000</v>
      </c>
      <c r="AC66" s="49">
        <f t="shared" si="34"/>
        <v>0</v>
      </c>
      <c r="AD66" s="49">
        <f>AA66+T66+M66</f>
        <v>2500000</v>
      </c>
      <c r="AE66" s="49"/>
      <c r="AF66" s="49"/>
      <c r="AG66" s="49"/>
      <c r="AH66" s="49"/>
      <c r="AI66" s="49"/>
      <c r="AJ66" s="49">
        <v>1050000</v>
      </c>
      <c r="AK66" s="49">
        <f>Z66+Y66+X66+W66+N66+AG66+AJ66+AI66+AH66</f>
        <v>2450000</v>
      </c>
      <c r="AL66" s="49">
        <f>AK66/AD66*100</f>
        <v>98</v>
      </c>
      <c r="AM66" s="49"/>
      <c r="AN66" s="49"/>
      <c r="AO66" s="49"/>
      <c r="AP66" s="49"/>
      <c r="AQ66" s="49">
        <f>AK66+AM66+AN66+AO66+AP66</f>
        <v>2450000</v>
      </c>
      <c r="AR66" s="49">
        <f>AQ66/AB66*100</f>
        <v>98</v>
      </c>
      <c r="AS66" s="49">
        <f t="shared" si="36"/>
        <v>50000</v>
      </c>
      <c r="AT66" s="49">
        <v>3091500</v>
      </c>
      <c r="AU66" s="49">
        <f>AT66+U66</f>
        <v>5591500</v>
      </c>
      <c r="AV66" s="49">
        <f>AK66</f>
        <v>2450000</v>
      </c>
      <c r="AW66" s="72">
        <f>AV66/AU66*100</f>
        <v>43.81650719842618</v>
      </c>
      <c r="AX66" s="49">
        <f>AU66-AV66</f>
        <v>3141500</v>
      </c>
      <c r="AY66" s="49">
        <f>AS66/AB66*100</f>
        <v>2</v>
      </c>
      <c r="AZ66" s="73">
        <f t="shared" si="18"/>
        <v>2450000</v>
      </c>
    </row>
    <row r="67" spans="1:54" ht="20.100000000000001" hidden="1" customHeight="1">
      <c r="A67" s="68"/>
      <c r="B67" s="69"/>
      <c r="C67" s="240" t="s">
        <v>196</v>
      </c>
      <c r="D67" s="240"/>
      <c r="E67" s="241"/>
      <c r="F67" s="70"/>
      <c r="G67" s="71"/>
      <c r="H67" s="71"/>
      <c r="I67" s="240" t="s">
        <v>157</v>
      </c>
      <c r="J67" s="240"/>
      <c r="K67" s="241"/>
      <c r="L67" s="49"/>
      <c r="M67" s="49"/>
      <c r="N67" s="49"/>
      <c r="O67" s="49"/>
      <c r="P67" s="49"/>
      <c r="Q67" s="49"/>
      <c r="R67" s="72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>
        <f t="shared" si="34"/>
        <v>0</v>
      </c>
      <c r="AD67" s="49"/>
      <c r="AE67" s="49"/>
      <c r="AF67" s="49"/>
      <c r="AG67" s="49"/>
      <c r="AH67" s="49"/>
      <c r="AI67" s="49"/>
      <c r="AJ67" s="49"/>
      <c r="AK67" s="49"/>
      <c r="AL67" s="49"/>
      <c r="AM67" s="49"/>
      <c r="AN67" s="49"/>
      <c r="AO67" s="49"/>
      <c r="AP67" s="49"/>
      <c r="AQ67" s="49">
        <f>AK67+AL67+AM67+AN67+AO67+AP67</f>
        <v>0</v>
      </c>
      <c r="AR67" s="49"/>
      <c r="AS67" s="49">
        <f t="shared" si="36"/>
        <v>0</v>
      </c>
      <c r="AT67" s="49"/>
      <c r="AU67" s="49"/>
      <c r="AV67" s="49"/>
      <c r="AW67" s="49"/>
      <c r="AX67" s="49"/>
      <c r="AY67" s="49"/>
      <c r="AZ67" s="73">
        <f t="shared" si="18"/>
        <v>0</v>
      </c>
    </row>
    <row r="68" spans="1:54" ht="20.100000000000001" hidden="1" customHeight="1">
      <c r="A68" s="68"/>
      <c r="B68" s="69"/>
      <c r="C68" s="240" t="s">
        <v>197</v>
      </c>
      <c r="D68" s="240"/>
      <c r="E68" s="241"/>
      <c r="F68" s="70"/>
      <c r="G68" s="71"/>
      <c r="H68" s="71"/>
      <c r="I68" s="71"/>
      <c r="J68" s="240" t="s">
        <v>159</v>
      </c>
      <c r="K68" s="241"/>
      <c r="L68" s="49">
        <v>7580000</v>
      </c>
      <c r="M68" s="49">
        <v>2300000</v>
      </c>
      <c r="N68" s="49">
        <v>960000</v>
      </c>
      <c r="O68" s="49"/>
      <c r="P68" s="49"/>
      <c r="Q68" s="49">
        <f>SUM(N68:P68)</f>
        <v>960000</v>
      </c>
      <c r="R68" s="72">
        <f t="shared" si="14"/>
        <v>41.739130434782609</v>
      </c>
      <c r="S68" s="49">
        <f>M68-Q68</f>
        <v>1340000</v>
      </c>
      <c r="T68" s="49">
        <v>1900000</v>
      </c>
      <c r="U68" s="49">
        <f>T68+M68</f>
        <v>4200000</v>
      </c>
      <c r="V68" s="49">
        <f>T68+S68</f>
        <v>3240000</v>
      </c>
      <c r="W68" s="49">
        <v>1070000</v>
      </c>
      <c r="X68" s="49"/>
      <c r="Y68" s="49"/>
      <c r="Z68" s="49"/>
      <c r="AA68" s="49">
        <v>2580000</v>
      </c>
      <c r="AB68" s="49">
        <v>7580000</v>
      </c>
      <c r="AC68" s="49">
        <f t="shared" si="34"/>
        <v>0</v>
      </c>
      <c r="AD68" s="49">
        <f>AA68+T68+M68</f>
        <v>6780000</v>
      </c>
      <c r="AE68" s="49"/>
      <c r="AF68" s="49"/>
      <c r="AG68" s="49">
        <v>960000</v>
      </c>
      <c r="AH68" s="49"/>
      <c r="AI68" s="49"/>
      <c r="AJ68" s="49">
        <v>1020000</v>
      </c>
      <c r="AK68" s="49">
        <f>Z68+Y68+X68+W68+N68+AG68+AJ68+AI68+AH68</f>
        <v>4010000</v>
      </c>
      <c r="AL68" s="49">
        <f>AK68/AD68*100</f>
        <v>59.14454277286135</v>
      </c>
      <c r="AM68" s="49"/>
      <c r="AN68" s="49"/>
      <c r="AO68" s="42">
        <f>480000+640000</f>
        <v>1120000</v>
      </c>
      <c r="AP68" s="49"/>
      <c r="AQ68" s="49">
        <f>AK68+AM68+AN68+AO68+AP68</f>
        <v>5130000</v>
      </c>
      <c r="AR68" s="49">
        <f>AQ68/AB68*100</f>
        <v>67.678100263852244</v>
      </c>
      <c r="AS68" s="49">
        <f t="shared" si="36"/>
        <v>2450000</v>
      </c>
      <c r="AT68" s="49">
        <v>3091500</v>
      </c>
      <c r="AU68" s="49">
        <f>AT68+U68</f>
        <v>7291500</v>
      </c>
      <c r="AV68" s="49">
        <f>AK68</f>
        <v>4010000</v>
      </c>
      <c r="AW68" s="72">
        <f>AV68/AU68*100</f>
        <v>54.995542755262981</v>
      </c>
      <c r="AX68" s="49">
        <f>AU68-AV68</f>
        <v>3281500</v>
      </c>
      <c r="AY68" s="49">
        <f>AS68/AB68*100</f>
        <v>32.321899736147756</v>
      </c>
      <c r="AZ68" s="73">
        <f t="shared" si="18"/>
        <v>4010000</v>
      </c>
    </row>
    <row r="69" spans="1:54" ht="20.100000000000001" customHeight="1">
      <c r="A69" s="62">
        <v>4</v>
      </c>
      <c r="B69" s="63"/>
      <c r="C69" s="242" t="s">
        <v>198</v>
      </c>
      <c r="D69" s="242"/>
      <c r="E69" s="243"/>
      <c r="F69" s="64"/>
      <c r="G69" s="244" t="s">
        <v>199</v>
      </c>
      <c r="H69" s="244"/>
      <c r="I69" s="244"/>
      <c r="J69" s="244"/>
      <c r="K69" s="245"/>
      <c r="L69" s="65">
        <f>SUM(L72:L76)</f>
        <v>120000000</v>
      </c>
      <c r="M69" s="65">
        <f>SUM(M72:M76)</f>
        <v>20876000</v>
      </c>
      <c r="N69" s="65">
        <f>SUM(N72:N76)</f>
        <v>16476715</v>
      </c>
      <c r="O69" s="65">
        <f>SUM(O72:O76)</f>
        <v>0</v>
      </c>
      <c r="P69" s="65">
        <f>SUM(P72:P76)</f>
        <v>0</v>
      </c>
      <c r="Q69" s="65">
        <f>SUM(N69:P69)</f>
        <v>16476715</v>
      </c>
      <c r="R69" s="66">
        <f t="shared" si="14"/>
        <v>78.92659034297759</v>
      </c>
      <c r="S69" s="65">
        <f>M69-Q69</f>
        <v>4399285</v>
      </c>
      <c r="T69" s="65">
        <f>SUM(T72:T76)</f>
        <v>34816000</v>
      </c>
      <c r="U69" s="65">
        <f>T69+M69</f>
        <v>55692000</v>
      </c>
      <c r="V69" s="65">
        <f>T69+S69</f>
        <v>39215285</v>
      </c>
      <c r="W69" s="65">
        <f>SUM(W72:W76)</f>
        <v>0</v>
      </c>
      <c r="X69" s="65">
        <f>SUM(X72:X76)</f>
        <v>34887980</v>
      </c>
      <c r="Y69" s="65">
        <f>SUM(Y72:Y76)</f>
        <v>0</v>
      </c>
      <c r="Z69" s="65"/>
      <c r="AA69" s="65">
        <f>SUM(AA72:AA76)</f>
        <v>49308000</v>
      </c>
      <c r="AB69" s="65">
        <f>SUM(AB72:AB76)</f>
        <v>120000000</v>
      </c>
      <c r="AC69" s="65">
        <f t="shared" si="34"/>
        <v>0</v>
      </c>
      <c r="AD69" s="65">
        <f>AA69+T69+M69</f>
        <v>105000000</v>
      </c>
      <c r="AE69" s="65">
        <f t="shared" ref="AE69:AK69" si="37">SUM(AE72:AE76)</f>
        <v>3462400</v>
      </c>
      <c r="AF69" s="65">
        <f t="shared" si="37"/>
        <v>0</v>
      </c>
      <c r="AG69" s="65">
        <f t="shared" si="37"/>
        <v>889350</v>
      </c>
      <c r="AH69" s="65">
        <f t="shared" si="37"/>
        <v>0</v>
      </c>
      <c r="AI69" s="65">
        <f t="shared" si="37"/>
        <v>0</v>
      </c>
      <c r="AJ69" s="65">
        <f t="shared" si="37"/>
        <v>16145880</v>
      </c>
      <c r="AK69" s="65">
        <f t="shared" si="37"/>
        <v>71862325</v>
      </c>
      <c r="AL69" s="65">
        <f>AK69/AB69*100</f>
        <v>59.885270833333337</v>
      </c>
      <c r="AM69" s="65">
        <f>SUM(AM72:AM76)</f>
        <v>0</v>
      </c>
      <c r="AN69" s="65">
        <f>SUM(AN72:AN76)</f>
        <v>0</v>
      </c>
      <c r="AO69" s="65">
        <f>SUM(AO72:AO76)</f>
        <v>24647400</v>
      </c>
      <c r="AP69" s="65">
        <f>SUM(AP72:AP76)</f>
        <v>0</v>
      </c>
      <c r="AQ69" s="65">
        <f>AK69+AM69+AN69+AO69+AP69</f>
        <v>96509725</v>
      </c>
      <c r="AR69" s="65">
        <f>AQ69/AB69*100</f>
        <v>80.424770833333341</v>
      </c>
      <c r="AS69" s="65">
        <f t="shared" si="36"/>
        <v>23490275</v>
      </c>
      <c r="AT69" s="65">
        <f>SUM(AT72:AT78)</f>
        <v>21640500</v>
      </c>
      <c r="AU69" s="65">
        <f>AT69+U69</f>
        <v>77332500</v>
      </c>
      <c r="AV69" s="65">
        <f>AK69</f>
        <v>71862325</v>
      </c>
      <c r="AW69" s="66">
        <f>AV69/AU69*100</f>
        <v>92.926421620922639</v>
      </c>
      <c r="AX69" s="65">
        <f>AU69-AV69</f>
        <v>5470175</v>
      </c>
      <c r="AY69" s="65">
        <f>AS69/AB69*100</f>
        <v>19.575229166666666</v>
      </c>
      <c r="AZ69" s="67">
        <f t="shared" si="18"/>
        <v>71862325</v>
      </c>
    </row>
    <row r="70" spans="1:54" ht="20.100000000000001" hidden="1" customHeight="1">
      <c r="A70" s="68"/>
      <c r="B70" s="69"/>
      <c r="C70" s="240" t="s">
        <v>200</v>
      </c>
      <c r="D70" s="240"/>
      <c r="E70" s="241"/>
      <c r="F70" s="70"/>
      <c r="G70" s="71"/>
      <c r="H70" s="240" t="s">
        <v>143</v>
      </c>
      <c r="I70" s="240"/>
      <c r="J70" s="240"/>
      <c r="K70" s="241"/>
      <c r="L70" s="49"/>
      <c r="M70" s="49"/>
      <c r="N70" s="49"/>
      <c r="O70" s="49"/>
      <c r="P70" s="49"/>
      <c r="Q70" s="49"/>
      <c r="R70" s="72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>
        <f t="shared" si="34"/>
        <v>0</v>
      </c>
      <c r="AD70" s="49"/>
      <c r="AE70" s="49"/>
      <c r="AF70" s="49"/>
      <c r="AG70" s="49"/>
      <c r="AH70" s="49"/>
      <c r="AI70" s="49"/>
      <c r="AJ70" s="49"/>
      <c r="AK70" s="49"/>
      <c r="AL70" s="49"/>
      <c r="AM70" s="49"/>
      <c r="AN70" s="49"/>
      <c r="AO70" s="49"/>
      <c r="AP70" s="49"/>
      <c r="AQ70" s="49"/>
      <c r="AR70" s="49"/>
      <c r="AS70" s="49"/>
      <c r="AT70" s="49"/>
      <c r="AU70" s="49"/>
      <c r="AV70" s="49"/>
      <c r="AW70" s="49"/>
      <c r="AX70" s="49"/>
      <c r="AY70" s="49"/>
      <c r="AZ70" s="73">
        <f t="shared" si="18"/>
        <v>0</v>
      </c>
    </row>
    <row r="71" spans="1:54" ht="20.100000000000001" hidden="1" customHeight="1">
      <c r="A71" s="68"/>
      <c r="B71" s="69"/>
      <c r="C71" s="240" t="s">
        <v>201</v>
      </c>
      <c r="D71" s="240"/>
      <c r="E71" s="241"/>
      <c r="F71" s="70"/>
      <c r="G71" s="71"/>
      <c r="H71" s="71"/>
      <c r="I71" s="240" t="s">
        <v>145</v>
      </c>
      <c r="J71" s="240"/>
      <c r="K71" s="241"/>
      <c r="L71" s="49"/>
      <c r="M71" s="49"/>
      <c r="N71" s="49"/>
      <c r="O71" s="49"/>
      <c r="P71" s="49"/>
      <c r="Q71" s="49"/>
      <c r="R71" s="72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>
        <f t="shared" si="34"/>
        <v>0</v>
      </c>
      <c r="AD71" s="49"/>
      <c r="AE71" s="49"/>
      <c r="AF71" s="49"/>
      <c r="AG71" s="49" t="s">
        <v>48</v>
      </c>
      <c r="AH71" s="49" t="s">
        <v>48</v>
      </c>
      <c r="AI71" s="49"/>
      <c r="AJ71" s="49"/>
      <c r="AK71" s="49"/>
      <c r="AL71" s="49"/>
      <c r="AM71" s="49"/>
      <c r="AN71" s="49"/>
      <c r="AO71" s="49"/>
      <c r="AP71" s="49"/>
      <c r="AQ71" s="49"/>
      <c r="AR71" s="49"/>
      <c r="AS71" s="49"/>
      <c r="AT71" s="49"/>
      <c r="AU71" s="49"/>
      <c r="AV71" s="49"/>
      <c r="AW71" s="49"/>
      <c r="AX71" s="49"/>
      <c r="AY71" s="49"/>
      <c r="AZ71" s="73">
        <f t="shared" si="18"/>
        <v>0</v>
      </c>
    </row>
    <row r="72" spans="1:54" ht="20.100000000000001" hidden="1" customHeight="1">
      <c r="A72" s="68"/>
      <c r="B72" s="69"/>
      <c r="C72" s="240" t="s">
        <v>202</v>
      </c>
      <c r="D72" s="240"/>
      <c r="E72" s="241"/>
      <c r="F72" s="70"/>
      <c r="G72" s="71"/>
      <c r="H72" s="71"/>
      <c r="I72" s="71"/>
      <c r="J72" s="240" t="s">
        <v>147</v>
      </c>
      <c r="K72" s="241"/>
      <c r="L72" s="49">
        <v>476000</v>
      </c>
      <c r="M72" s="49">
        <v>476000</v>
      </c>
      <c r="N72" s="49">
        <v>475800</v>
      </c>
      <c r="O72" s="49"/>
      <c r="P72" s="49"/>
      <c r="Q72" s="49">
        <f>SUM(N72:P72)</f>
        <v>475800</v>
      </c>
      <c r="R72" s="72">
        <f t="shared" si="14"/>
        <v>99.957983193277315</v>
      </c>
      <c r="S72" s="49">
        <f>M72-Q72</f>
        <v>200</v>
      </c>
      <c r="T72" s="49">
        <v>0</v>
      </c>
      <c r="U72" s="49">
        <f>T72+M72</f>
        <v>476000</v>
      </c>
      <c r="V72" s="49">
        <f>T72+S72</f>
        <v>200</v>
      </c>
      <c r="W72" s="49"/>
      <c r="X72" s="49"/>
      <c r="Y72" s="49"/>
      <c r="Z72" s="49"/>
      <c r="AA72" s="49">
        <v>0</v>
      </c>
      <c r="AB72" s="49">
        <v>476000</v>
      </c>
      <c r="AC72" s="49">
        <f t="shared" si="34"/>
        <v>0</v>
      </c>
      <c r="AD72" s="49">
        <f>AA72+T72+M72</f>
        <v>476000</v>
      </c>
      <c r="AE72" s="49"/>
      <c r="AF72" s="49"/>
      <c r="AG72" s="49"/>
      <c r="AH72" s="49"/>
      <c r="AI72" s="49"/>
      <c r="AJ72" s="49"/>
      <c r="AK72" s="49">
        <f>Z72+Y72+X72+W72+N72+AG72+AJ72+AI72+AH72</f>
        <v>475800</v>
      </c>
      <c r="AL72" s="49">
        <f>AK72/AD72*100</f>
        <v>99.957983193277315</v>
      </c>
      <c r="AM72" s="49"/>
      <c r="AN72" s="49"/>
      <c r="AO72" s="49"/>
      <c r="AP72" s="49"/>
      <c r="AQ72" s="49">
        <f>AK72+AM72+AN72+AO72+AP72</f>
        <v>475800</v>
      </c>
      <c r="AR72" s="49">
        <f>AQ72/AB72*100</f>
        <v>99.957983193277315</v>
      </c>
      <c r="AS72" s="49">
        <f>AB72-AQ72</f>
        <v>200</v>
      </c>
      <c r="AT72" s="49">
        <v>3091500</v>
      </c>
      <c r="AU72" s="49">
        <f>AT72+U72</f>
        <v>3567500</v>
      </c>
      <c r="AV72" s="49">
        <f>AK72</f>
        <v>475800</v>
      </c>
      <c r="AW72" s="72">
        <f>AV72/AU72*100</f>
        <v>13.337070777855642</v>
      </c>
      <c r="AX72" s="49">
        <f>AU72-AV72</f>
        <v>3091700</v>
      </c>
      <c r="AY72" s="49">
        <f>AS72/AB72*100</f>
        <v>4.2016806722689079E-2</v>
      </c>
      <c r="AZ72" s="73">
        <f t="shared" si="18"/>
        <v>475800</v>
      </c>
    </row>
    <row r="73" spans="1:54" ht="20.100000000000001" hidden="1" customHeight="1">
      <c r="A73" s="68"/>
      <c r="B73" s="69"/>
      <c r="C73" s="240" t="s">
        <v>203</v>
      </c>
      <c r="D73" s="240"/>
      <c r="E73" s="241"/>
      <c r="F73" s="70"/>
      <c r="G73" s="71"/>
      <c r="H73" s="71"/>
      <c r="I73" s="240" t="s">
        <v>151</v>
      </c>
      <c r="J73" s="240"/>
      <c r="K73" s="241"/>
      <c r="L73" s="49"/>
      <c r="M73" s="49"/>
      <c r="N73" s="49"/>
      <c r="O73" s="49"/>
      <c r="P73" s="49"/>
      <c r="Q73" s="49"/>
      <c r="R73" s="72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>
        <f t="shared" si="34"/>
        <v>0</v>
      </c>
      <c r="AD73" s="49"/>
      <c r="AE73" s="49"/>
      <c r="AF73" s="49"/>
      <c r="AG73" s="49"/>
      <c r="AH73" s="49"/>
      <c r="AI73" s="49"/>
      <c r="AJ73" s="49"/>
      <c r="AK73" s="49"/>
      <c r="AL73" s="49"/>
      <c r="AM73" s="49"/>
      <c r="AN73" s="49"/>
      <c r="AO73" s="49"/>
      <c r="AP73" s="49"/>
      <c r="AQ73" s="49"/>
      <c r="AR73" s="49"/>
      <c r="AS73" s="49"/>
      <c r="AT73" s="49"/>
      <c r="AU73" s="49"/>
      <c r="AV73" s="49"/>
      <c r="AW73" s="49"/>
      <c r="AX73" s="49"/>
      <c r="AY73" s="49"/>
      <c r="AZ73" s="73">
        <f t="shared" si="18"/>
        <v>0</v>
      </c>
    </row>
    <row r="74" spans="1:54" ht="20.100000000000001" hidden="1" customHeight="1">
      <c r="A74" s="68"/>
      <c r="B74" s="69"/>
      <c r="C74" s="240" t="s">
        <v>204</v>
      </c>
      <c r="D74" s="240"/>
      <c r="E74" s="241"/>
      <c r="F74" s="70"/>
      <c r="G74" s="71"/>
      <c r="H74" s="71"/>
      <c r="I74" s="71"/>
      <c r="J74" s="240" t="s">
        <v>155</v>
      </c>
      <c r="K74" s="241"/>
      <c r="L74" s="49">
        <v>2116000</v>
      </c>
      <c r="M74" s="49">
        <v>400000</v>
      </c>
      <c r="N74" s="49">
        <v>399875</v>
      </c>
      <c r="O74" s="49"/>
      <c r="P74" s="49"/>
      <c r="Q74" s="49">
        <f>SUM(N74:P74)</f>
        <v>399875</v>
      </c>
      <c r="R74" s="72">
        <f t="shared" si="14"/>
        <v>99.96875</v>
      </c>
      <c r="S74" s="49">
        <f>M74-Q74</f>
        <v>125</v>
      </c>
      <c r="T74" s="49">
        <v>816000</v>
      </c>
      <c r="U74" s="49">
        <f>T74+M74</f>
        <v>1216000</v>
      </c>
      <c r="V74" s="49">
        <f>T74+S74</f>
        <v>816125</v>
      </c>
      <c r="W74" s="49"/>
      <c r="X74" s="49"/>
      <c r="Y74" s="49"/>
      <c r="Z74" s="49"/>
      <c r="AA74" s="49">
        <v>900000</v>
      </c>
      <c r="AB74" s="49">
        <v>2116000</v>
      </c>
      <c r="AC74" s="49">
        <f t="shared" si="34"/>
        <v>0</v>
      </c>
      <c r="AD74" s="49">
        <f>AA74+T74+M74</f>
        <v>2116000</v>
      </c>
      <c r="AE74" s="49"/>
      <c r="AF74" s="49"/>
      <c r="AG74" s="49">
        <v>889350</v>
      </c>
      <c r="AH74" s="49"/>
      <c r="AI74" s="49"/>
      <c r="AJ74" s="49">
        <v>826700</v>
      </c>
      <c r="AK74" s="49">
        <f>Z74+Y74+X74+W74+N74+AG74+AJ74+AI74+AH74</f>
        <v>2115925</v>
      </c>
      <c r="AL74" s="49">
        <f>AK74/AD74*100</f>
        <v>99.996455576559555</v>
      </c>
      <c r="AM74" s="49"/>
      <c r="AN74" s="49"/>
      <c r="AO74" s="49"/>
      <c r="AP74" s="49"/>
      <c r="AQ74" s="49">
        <f>AK74+AM74+AN74+AO74+AP74</f>
        <v>2115925</v>
      </c>
      <c r="AR74" s="49">
        <f>AQ74/AB74*100</f>
        <v>99.996455576559555</v>
      </c>
      <c r="AS74" s="49">
        <f t="shared" ref="AS74:AS92" si="38">AB74-AQ74</f>
        <v>75</v>
      </c>
      <c r="AT74" s="49">
        <v>3091500</v>
      </c>
      <c r="AU74" s="49">
        <f>AT74+U74</f>
        <v>4307500</v>
      </c>
      <c r="AV74" s="49">
        <f>AK74</f>
        <v>2115925</v>
      </c>
      <c r="AW74" s="72">
        <f>AV74/AU74*100</f>
        <v>49.121880441091122</v>
      </c>
      <c r="AX74" s="49">
        <f>AU74-AV74</f>
        <v>2191575</v>
      </c>
      <c r="AY74" s="49">
        <f>AS74/AB74*100</f>
        <v>3.5444234404536858E-3</v>
      </c>
      <c r="AZ74" s="73">
        <f t="shared" si="18"/>
        <v>2115925</v>
      </c>
    </row>
    <row r="75" spans="1:54" ht="20.100000000000001" hidden="1" customHeight="1">
      <c r="A75" s="68"/>
      <c r="B75" s="69"/>
      <c r="C75" s="240" t="s">
        <v>205</v>
      </c>
      <c r="D75" s="240"/>
      <c r="E75" s="241"/>
      <c r="F75" s="70"/>
      <c r="G75" s="71"/>
      <c r="H75" s="71"/>
      <c r="I75" s="240" t="s">
        <v>157</v>
      </c>
      <c r="J75" s="240"/>
      <c r="K75" s="241"/>
      <c r="L75" s="49"/>
      <c r="M75" s="49"/>
      <c r="N75" s="49"/>
      <c r="O75" s="49"/>
      <c r="P75" s="49"/>
      <c r="Q75" s="49"/>
      <c r="R75" s="72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>
        <f t="shared" si="34"/>
        <v>0</v>
      </c>
      <c r="AD75" s="49"/>
      <c r="AE75" s="49"/>
      <c r="AF75" s="49"/>
      <c r="AG75" s="49"/>
      <c r="AH75" s="49"/>
      <c r="AI75" s="49"/>
      <c r="AJ75" s="49"/>
      <c r="AK75" s="49"/>
      <c r="AL75" s="49"/>
      <c r="AM75" s="49"/>
      <c r="AN75" s="49"/>
      <c r="AO75" s="49"/>
      <c r="AP75" s="49"/>
      <c r="AQ75" s="49">
        <f>AK75+AL75+AM75+AN75+AO75+AP75</f>
        <v>0</v>
      </c>
      <c r="AR75" s="49"/>
      <c r="AS75" s="49">
        <f t="shared" si="38"/>
        <v>0</v>
      </c>
      <c r="AT75" s="49"/>
      <c r="AU75" s="49"/>
      <c r="AV75" s="49"/>
      <c r="AW75" s="49"/>
      <c r="AX75" s="49"/>
      <c r="AY75" s="49"/>
      <c r="AZ75" s="73">
        <f t="shared" si="18"/>
        <v>0</v>
      </c>
    </row>
    <row r="76" spans="1:54" ht="20.100000000000001" hidden="1" customHeight="1">
      <c r="A76" s="68"/>
      <c r="B76" s="69"/>
      <c r="C76" s="240" t="s">
        <v>206</v>
      </c>
      <c r="D76" s="240"/>
      <c r="E76" s="241"/>
      <c r="F76" s="70"/>
      <c r="G76" s="71"/>
      <c r="H76" s="71"/>
      <c r="I76" s="71"/>
      <c r="J76" s="240" t="s">
        <v>207</v>
      </c>
      <c r="K76" s="241"/>
      <c r="L76" s="49">
        <v>117408000</v>
      </c>
      <c r="M76" s="49">
        <v>20000000</v>
      </c>
      <c r="N76" s="49">
        <f>14202240+1398800</f>
        <v>15601040</v>
      </c>
      <c r="O76" s="49"/>
      <c r="P76" s="49"/>
      <c r="Q76" s="49">
        <f>SUM(N76:P76)</f>
        <v>15601040</v>
      </c>
      <c r="R76" s="72">
        <f t="shared" si="14"/>
        <v>78.005200000000002</v>
      </c>
      <c r="S76" s="49">
        <f>M76-Q76</f>
        <v>4398960</v>
      </c>
      <c r="T76" s="49">
        <v>34000000</v>
      </c>
      <c r="U76" s="49">
        <f>T76+M76</f>
        <v>54000000</v>
      </c>
      <c r="V76" s="49">
        <f>T76+S76</f>
        <v>38398960</v>
      </c>
      <c r="W76" s="49"/>
      <c r="X76" s="49">
        <v>34887980</v>
      </c>
      <c r="Y76" s="49"/>
      <c r="Z76" s="49"/>
      <c r="AA76" s="49">
        <v>48408000</v>
      </c>
      <c r="AB76" s="49">
        <v>117408000</v>
      </c>
      <c r="AC76" s="49">
        <f t="shared" si="34"/>
        <v>0</v>
      </c>
      <c r="AD76" s="49">
        <f>AA76+T76+M76</f>
        <v>102408000</v>
      </c>
      <c r="AE76" s="49">
        <v>3462400</v>
      </c>
      <c r="AF76" s="49">
        <v>0</v>
      </c>
      <c r="AG76" s="49"/>
      <c r="AH76" s="49"/>
      <c r="AI76" s="49"/>
      <c r="AJ76" s="49">
        <f>11369180+3950000</f>
        <v>15319180</v>
      </c>
      <c r="AK76" s="49">
        <f>Z76+Y76+X76+W76+N76+AG76+AJ76+AI76+AH76+3462400</f>
        <v>69270600</v>
      </c>
      <c r="AL76" s="49">
        <f>AK76/AD76*100</f>
        <v>67.641785797984539</v>
      </c>
      <c r="AM76" s="48">
        <v>0</v>
      </c>
      <c r="AN76" s="49"/>
      <c r="AO76" s="42">
        <v>24647400</v>
      </c>
      <c r="AP76" s="49"/>
      <c r="AQ76" s="49">
        <f>AK76+AM76+AN76+AO76+AP76</f>
        <v>93918000</v>
      </c>
      <c r="AR76" s="49">
        <f>AQ76/AB76*100</f>
        <v>79.992845461978746</v>
      </c>
      <c r="AS76" s="49">
        <f t="shared" si="38"/>
        <v>23490000</v>
      </c>
      <c r="AT76" s="49">
        <v>3091500</v>
      </c>
      <c r="AU76" s="49">
        <f>AT76+U76</f>
        <v>57091500</v>
      </c>
      <c r="AV76" s="49">
        <f>AK76</f>
        <v>69270600</v>
      </c>
      <c r="AW76" s="72">
        <f>AV76/AU76*100</f>
        <v>121.33259767215785</v>
      </c>
      <c r="AX76" s="49">
        <f>AU76-AV76</f>
        <v>-12179100</v>
      </c>
      <c r="AY76" s="49">
        <f>AS76/AB76*100</f>
        <v>20.007154538021261</v>
      </c>
      <c r="AZ76" s="73">
        <f t="shared" si="18"/>
        <v>69270600</v>
      </c>
      <c r="BB76" s="29">
        <f>AS76</f>
        <v>23490000</v>
      </c>
    </row>
    <row r="77" spans="1:54" ht="20.100000000000001" customHeight="1">
      <c r="A77" s="62">
        <v>5</v>
      </c>
      <c r="B77" s="63"/>
      <c r="C77" s="242" t="s">
        <v>208</v>
      </c>
      <c r="D77" s="242"/>
      <c r="E77" s="243"/>
      <c r="F77" s="64"/>
      <c r="G77" s="244" t="s">
        <v>209</v>
      </c>
      <c r="H77" s="244"/>
      <c r="I77" s="244"/>
      <c r="J77" s="244"/>
      <c r="K77" s="245"/>
      <c r="L77" s="65">
        <f>SUM(L80:L86)</f>
        <v>70000000</v>
      </c>
      <c r="M77" s="65">
        <f t="shared" ref="M77:T77" si="39">SUM(M80:M86)</f>
        <v>19200000</v>
      </c>
      <c r="N77" s="65">
        <f t="shared" si="39"/>
        <v>8207425</v>
      </c>
      <c r="O77" s="65">
        <f t="shared" si="39"/>
        <v>0</v>
      </c>
      <c r="P77" s="65">
        <f t="shared" si="39"/>
        <v>0</v>
      </c>
      <c r="Q77" s="65">
        <f>SUM(N77:P77)</f>
        <v>8207425</v>
      </c>
      <c r="R77" s="66">
        <f t="shared" si="14"/>
        <v>42.747005208333334</v>
      </c>
      <c r="S77" s="65">
        <f>M77-Q77</f>
        <v>10992575</v>
      </c>
      <c r="T77" s="65">
        <f t="shared" si="39"/>
        <v>22140000</v>
      </c>
      <c r="U77" s="65">
        <f>T77+M77</f>
        <v>41340000</v>
      </c>
      <c r="V77" s="65">
        <f>T77+S77</f>
        <v>33132575</v>
      </c>
      <c r="W77" s="65">
        <f>SUM(W80:W86)</f>
        <v>5487400</v>
      </c>
      <c r="X77" s="65">
        <f>SUM(X80:X86)</f>
        <v>8540000</v>
      </c>
      <c r="Y77" s="65">
        <f>SUM(Y80:Y86)</f>
        <v>0</v>
      </c>
      <c r="Z77" s="65"/>
      <c r="AA77" s="65">
        <v>18847000</v>
      </c>
      <c r="AB77" s="65">
        <f>SUM(AB80:AB86)</f>
        <v>76000000</v>
      </c>
      <c r="AC77" s="65">
        <f t="shared" si="34"/>
        <v>6000000</v>
      </c>
      <c r="AD77" s="65">
        <f>AA77+T77+M77</f>
        <v>60187000</v>
      </c>
      <c r="AE77" s="65">
        <f t="shared" ref="AE77:AK77" si="40">SUM(AE80:AE86)</f>
        <v>5230000</v>
      </c>
      <c r="AF77" s="65">
        <f t="shared" si="40"/>
        <v>0</v>
      </c>
      <c r="AG77" s="65">
        <f t="shared" si="40"/>
        <v>13530775</v>
      </c>
      <c r="AH77" s="65">
        <f t="shared" si="40"/>
        <v>0</v>
      </c>
      <c r="AI77" s="65">
        <f t="shared" si="40"/>
        <v>0</v>
      </c>
      <c r="AJ77" s="65">
        <f t="shared" si="40"/>
        <v>6035250</v>
      </c>
      <c r="AK77" s="65">
        <f t="shared" si="40"/>
        <v>47030850</v>
      </c>
      <c r="AL77" s="65">
        <f>AK77/AB77*100</f>
        <v>61.882697368421056</v>
      </c>
      <c r="AM77" s="65">
        <f>SUM(AM80:AM86)</f>
        <v>0</v>
      </c>
      <c r="AN77" s="65">
        <f>SUM(AN80:AN86)</f>
        <v>0</v>
      </c>
      <c r="AO77" s="42">
        <f>SUM(AO80:AO86)</f>
        <v>6713250</v>
      </c>
      <c r="AP77" s="65">
        <f>SUM(AP80:AP86)</f>
        <v>0</v>
      </c>
      <c r="AQ77" s="65">
        <f>AK77+AM77+AN77+AO77+AP77</f>
        <v>53744100</v>
      </c>
      <c r="AR77" s="65">
        <f>AQ77/AB77*100</f>
        <v>70.715921052631586</v>
      </c>
      <c r="AS77" s="65">
        <f t="shared" si="38"/>
        <v>22255900</v>
      </c>
      <c r="AT77" s="65">
        <f>SUM(AT80:AT86)</f>
        <v>12366000</v>
      </c>
      <c r="AU77" s="65">
        <f>AT77+U77</f>
        <v>53706000</v>
      </c>
      <c r="AV77" s="65">
        <f>AK77</f>
        <v>47030850</v>
      </c>
      <c r="AW77" s="66">
        <f>AV77/AU77*100</f>
        <v>87.570941794212942</v>
      </c>
      <c r="AX77" s="65">
        <f>AU77-AV77</f>
        <v>6675150</v>
      </c>
      <c r="AY77" s="65">
        <f>AS77/AB77*100</f>
        <v>29.284078947368421</v>
      </c>
      <c r="AZ77" s="67">
        <f t="shared" si="18"/>
        <v>47030850</v>
      </c>
    </row>
    <row r="78" spans="1:54" ht="20.100000000000001" hidden="1" customHeight="1">
      <c r="A78" s="68"/>
      <c r="B78" s="69"/>
      <c r="C78" s="240" t="s">
        <v>210</v>
      </c>
      <c r="D78" s="240"/>
      <c r="E78" s="241"/>
      <c r="F78" s="70"/>
      <c r="G78" s="71"/>
      <c r="H78" s="240" t="s">
        <v>143</v>
      </c>
      <c r="I78" s="240"/>
      <c r="J78" s="240"/>
      <c r="K78" s="241"/>
      <c r="L78" s="49"/>
      <c r="M78" s="49"/>
      <c r="N78" s="49"/>
      <c r="O78" s="49"/>
      <c r="P78" s="49"/>
      <c r="Q78" s="49"/>
      <c r="R78" s="72"/>
      <c r="S78" s="49"/>
      <c r="T78" s="49"/>
      <c r="U78" s="49"/>
      <c r="V78" s="49"/>
      <c r="W78" s="49"/>
      <c r="X78" s="49"/>
      <c r="Y78" s="49"/>
      <c r="Z78" s="49"/>
      <c r="AA78" s="49"/>
      <c r="AB78" s="49"/>
      <c r="AC78" s="49">
        <f t="shared" si="34"/>
        <v>0</v>
      </c>
      <c r="AD78" s="49"/>
      <c r="AE78" s="49"/>
      <c r="AF78" s="49"/>
      <c r="AG78" s="49"/>
      <c r="AH78" s="49"/>
      <c r="AI78" s="49"/>
      <c r="AJ78" s="49"/>
      <c r="AK78" s="49"/>
      <c r="AL78" s="49"/>
      <c r="AM78" s="49"/>
      <c r="AN78" s="49"/>
      <c r="AO78" s="49"/>
      <c r="AP78" s="49"/>
      <c r="AQ78" s="49">
        <f>AK78+AL78+AM78+AN78+AO78+AP78</f>
        <v>0</v>
      </c>
      <c r="AR78" s="49"/>
      <c r="AS78" s="49">
        <f t="shared" si="38"/>
        <v>0</v>
      </c>
      <c r="AT78" s="49"/>
      <c r="AU78" s="49"/>
      <c r="AV78" s="49"/>
      <c r="AW78" s="49"/>
      <c r="AX78" s="49"/>
      <c r="AY78" s="49"/>
      <c r="AZ78" s="73">
        <f t="shared" si="18"/>
        <v>0</v>
      </c>
    </row>
    <row r="79" spans="1:54" ht="20.100000000000001" hidden="1" customHeight="1">
      <c r="A79" s="68"/>
      <c r="B79" s="69"/>
      <c r="C79" s="240" t="s">
        <v>211</v>
      </c>
      <c r="D79" s="240"/>
      <c r="E79" s="241"/>
      <c r="F79" s="70"/>
      <c r="G79" s="71"/>
      <c r="H79" s="71"/>
      <c r="I79" s="240" t="s">
        <v>145</v>
      </c>
      <c r="J79" s="240"/>
      <c r="K79" s="241"/>
      <c r="L79" s="49"/>
      <c r="M79" s="49"/>
      <c r="N79" s="49"/>
      <c r="O79" s="49"/>
      <c r="P79" s="49"/>
      <c r="Q79" s="49"/>
      <c r="R79" s="72"/>
      <c r="S79" s="49"/>
      <c r="T79" s="49"/>
      <c r="U79" s="49"/>
      <c r="V79" s="49"/>
      <c r="W79" s="49"/>
      <c r="X79" s="49"/>
      <c r="Y79" s="49"/>
      <c r="Z79" s="49"/>
      <c r="AA79" s="49"/>
      <c r="AB79" s="49"/>
      <c r="AC79" s="49">
        <f t="shared" si="34"/>
        <v>0</v>
      </c>
      <c r="AD79" s="49"/>
      <c r="AE79" s="49"/>
      <c r="AF79" s="49"/>
      <c r="AG79" s="49"/>
      <c r="AH79" s="49"/>
      <c r="AI79" s="49"/>
      <c r="AJ79" s="49"/>
      <c r="AK79" s="49"/>
      <c r="AL79" s="49"/>
      <c r="AM79" s="49"/>
      <c r="AN79" s="49"/>
      <c r="AO79" s="49"/>
      <c r="AP79" s="49"/>
      <c r="AQ79" s="49">
        <f>AK79+AL79+AM79+AN79+AO79+AP79</f>
        <v>0</v>
      </c>
      <c r="AR79" s="49"/>
      <c r="AS79" s="49">
        <f t="shared" si="38"/>
        <v>0</v>
      </c>
      <c r="AT79" s="49"/>
      <c r="AU79" s="49"/>
      <c r="AV79" s="49"/>
      <c r="AW79" s="49"/>
      <c r="AX79" s="49"/>
      <c r="AY79" s="49"/>
      <c r="AZ79" s="73">
        <f t="shared" si="18"/>
        <v>0</v>
      </c>
    </row>
    <row r="80" spans="1:54" ht="20.100000000000001" hidden="1" customHeight="1">
      <c r="A80" s="68"/>
      <c r="B80" s="69"/>
      <c r="C80" s="240" t="s">
        <v>212</v>
      </c>
      <c r="D80" s="240"/>
      <c r="E80" s="241"/>
      <c r="F80" s="70"/>
      <c r="G80" s="71"/>
      <c r="H80" s="71"/>
      <c r="I80" s="71"/>
      <c r="J80" s="240" t="s">
        <v>147</v>
      </c>
      <c r="K80" s="241"/>
      <c r="L80" s="49">
        <v>3847000</v>
      </c>
      <c r="M80" s="49">
        <v>1500000</v>
      </c>
      <c r="N80" s="49">
        <v>1500000</v>
      </c>
      <c r="O80" s="49"/>
      <c r="P80" s="49"/>
      <c r="Q80" s="49">
        <f>SUM(N80:P80)</f>
        <v>1500000</v>
      </c>
      <c r="R80" s="72">
        <f t="shared" si="14"/>
        <v>100</v>
      </c>
      <c r="S80" s="49">
        <f>M80-Q80</f>
        <v>0</v>
      </c>
      <c r="T80" s="49">
        <v>1500000</v>
      </c>
      <c r="U80" s="49">
        <f>T80+M80</f>
        <v>3000000</v>
      </c>
      <c r="V80" s="49">
        <f>T80+S80</f>
        <v>1500000</v>
      </c>
      <c r="W80" s="49"/>
      <c r="X80" s="49"/>
      <c r="Y80" s="49"/>
      <c r="Z80" s="49"/>
      <c r="AA80" s="49">
        <v>847000</v>
      </c>
      <c r="AB80" s="49">
        <v>3847000</v>
      </c>
      <c r="AC80" s="49">
        <f t="shared" si="34"/>
        <v>0</v>
      </c>
      <c r="AD80" s="49">
        <f>AA80+T80+M80</f>
        <v>3847000</v>
      </c>
      <c r="AE80" s="49"/>
      <c r="AF80" s="49"/>
      <c r="AG80" s="49">
        <v>1490800</v>
      </c>
      <c r="AH80" s="49"/>
      <c r="AI80" s="49"/>
      <c r="AJ80" s="49">
        <v>855300</v>
      </c>
      <c r="AK80" s="49">
        <f>Z80+Y80+X80+W80+N80+AG80+AJ80+AI80+AH80</f>
        <v>3846100</v>
      </c>
      <c r="AL80" s="49">
        <f>AK80/AD80*100</f>
        <v>99.976605146867698</v>
      </c>
      <c r="AM80" s="49"/>
      <c r="AN80" s="49"/>
      <c r="AO80" s="49"/>
      <c r="AP80" s="49"/>
      <c r="AQ80" s="49">
        <f>AK80+AM80+AN80+AO80+AP80</f>
        <v>3846100</v>
      </c>
      <c r="AR80" s="49">
        <f>AQ80/AB80*100</f>
        <v>99.976605146867698</v>
      </c>
      <c r="AS80" s="49">
        <f t="shared" si="38"/>
        <v>900</v>
      </c>
      <c r="AT80" s="49">
        <v>3091500</v>
      </c>
      <c r="AU80" s="49">
        <f>AT80+U80</f>
        <v>6091500</v>
      </c>
      <c r="AV80" s="49">
        <f>AK80</f>
        <v>3846100</v>
      </c>
      <c r="AW80" s="72">
        <f>AV80/AU80*100</f>
        <v>63.138799967167373</v>
      </c>
      <c r="AX80" s="49">
        <f>AU80-AV80</f>
        <v>2245400</v>
      </c>
      <c r="AY80" s="49">
        <f>AS80/AB80*100</f>
        <v>2.3394853132310892E-2</v>
      </c>
      <c r="AZ80" s="73">
        <f t="shared" si="18"/>
        <v>3846100</v>
      </c>
    </row>
    <row r="81" spans="1:54" ht="20.100000000000001" hidden="1" customHeight="1">
      <c r="A81" s="68"/>
      <c r="B81" s="69"/>
      <c r="C81" s="240" t="s">
        <v>213</v>
      </c>
      <c r="D81" s="240"/>
      <c r="E81" s="241"/>
      <c r="F81" s="70"/>
      <c r="G81" s="71"/>
      <c r="H81" s="71"/>
      <c r="I81" s="240" t="s">
        <v>151</v>
      </c>
      <c r="J81" s="240"/>
      <c r="K81" s="241"/>
      <c r="L81" s="49"/>
      <c r="M81" s="49"/>
      <c r="N81" s="49"/>
      <c r="O81" s="49"/>
      <c r="P81" s="49"/>
      <c r="Q81" s="49"/>
      <c r="R81" s="72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>
        <f t="shared" si="34"/>
        <v>0</v>
      </c>
      <c r="AD81" s="49"/>
      <c r="AE81" s="49"/>
      <c r="AF81" s="49"/>
      <c r="AG81" s="49"/>
      <c r="AH81" s="49"/>
      <c r="AI81" s="49"/>
      <c r="AJ81" s="49"/>
      <c r="AK81" s="49"/>
      <c r="AL81" s="49"/>
      <c r="AM81" s="49"/>
      <c r="AN81" s="49"/>
      <c r="AO81" s="49"/>
      <c r="AP81" s="49"/>
      <c r="AQ81" s="49">
        <f>AK81+AL81+AM81+AN81+AO81+AP81</f>
        <v>0</v>
      </c>
      <c r="AR81" s="49"/>
      <c r="AS81" s="49">
        <f t="shared" si="38"/>
        <v>0</v>
      </c>
      <c r="AT81" s="49"/>
      <c r="AU81" s="49"/>
      <c r="AV81" s="49"/>
      <c r="AW81" s="49"/>
      <c r="AX81" s="49"/>
      <c r="AY81" s="49"/>
      <c r="AZ81" s="73">
        <f t="shared" si="18"/>
        <v>0</v>
      </c>
    </row>
    <row r="82" spans="1:54" ht="20.100000000000001" hidden="1" customHeight="1">
      <c r="A82" s="68"/>
      <c r="B82" s="69"/>
      <c r="C82" s="240" t="s">
        <v>214</v>
      </c>
      <c r="D82" s="240"/>
      <c r="E82" s="241"/>
      <c r="F82" s="70"/>
      <c r="G82" s="71"/>
      <c r="H82" s="71"/>
      <c r="I82" s="71"/>
      <c r="J82" s="240" t="s">
        <v>155</v>
      </c>
      <c r="K82" s="241"/>
      <c r="L82" s="49">
        <v>6713000</v>
      </c>
      <c r="M82" s="49">
        <v>2500000</v>
      </c>
      <c r="N82" s="49">
        <v>1499925</v>
      </c>
      <c r="O82" s="49"/>
      <c r="P82" s="49"/>
      <c r="Q82" s="49">
        <f>SUM(N82:P82)</f>
        <v>1499925</v>
      </c>
      <c r="R82" s="72">
        <f t="shared" si="14"/>
        <v>59.997</v>
      </c>
      <c r="S82" s="49">
        <f>M82-Q82</f>
        <v>1000075</v>
      </c>
      <c r="T82" s="49">
        <v>1500000</v>
      </c>
      <c r="U82" s="49">
        <f>T82+M82</f>
        <v>4000000</v>
      </c>
      <c r="V82" s="49">
        <f>T82+S82</f>
        <v>2500075</v>
      </c>
      <c r="W82" s="49">
        <v>1999900</v>
      </c>
      <c r="X82" s="49"/>
      <c r="Y82" s="49"/>
      <c r="Z82" s="49"/>
      <c r="AA82" s="49">
        <v>1000000</v>
      </c>
      <c r="AB82" s="49">
        <v>6838000</v>
      </c>
      <c r="AC82" s="49">
        <f t="shared" si="34"/>
        <v>125000</v>
      </c>
      <c r="AD82" s="49">
        <f>AA82+T82+M82</f>
        <v>5000000</v>
      </c>
      <c r="AE82" s="49"/>
      <c r="AF82" s="49"/>
      <c r="AG82" s="49">
        <v>499975</v>
      </c>
      <c r="AH82" s="49"/>
      <c r="AI82" s="49"/>
      <c r="AJ82" s="49">
        <v>999950</v>
      </c>
      <c r="AK82" s="49">
        <f>Z82+Y82+X82+W82+N82+AG82+AJ82+AI82+AH82</f>
        <v>4999750</v>
      </c>
      <c r="AL82" s="49">
        <f>AK82/AD82*100</f>
        <v>99.995000000000005</v>
      </c>
      <c r="AM82" s="49"/>
      <c r="AN82" s="49"/>
      <c r="AO82" s="42">
        <v>1713250</v>
      </c>
      <c r="AP82" s="49"/>
      <c r="AQ82" s="49">
        <f>AK82+AM82+AN82+AO82+AP82</f>
        <v>6713000</v>
      </c>
      <c r="AR82" s="49">
        <f>AQ82/AB82*100</f>
        <v>98.171980111143611</v>
      </c>
      <c r="AS82" s="49">
        <f t="shared" si="38"/>
        <v>125000</v>
      </c>
      <c r="AT82" s="49">
        <v>3091500</v>
      </c>
      <c r="AU82" s="49">
        <f>AT82+U82</f>
        <v>7091500</v>
      </c>
      <c r="AV82" s="49">
        <f>AK82</f>
        <v>4999750</v>
      </c>
      <c r="AW82" s="72">
        <f>AV82/AU82*100</f>
        <v>70.50341958682931</v>
      </c>
      <c r="AX82" s="49">
        <f>AU82-AV82</f>
        <v>2091750</v>
      </c>
      <c r="AY82" s="49">
        <f>AS82/AB82*100</f>
        <v>1.8280198888563908</v>
      </c>
      <c r="AZ82" s="73">
        <f t="shared" si="18"/>
        <v>4999750</v>
      </c>
    </row>
    <row r="83" spans="1:54" ht="20.100000000000001" hidden="1" customHeight="1">
      <c r="A83" s="68"/>
      <c r="B83" s="69"/>
      <c r="C83" s="240" t="s">
        <v>215</v>
      </c>
      <c r="D83" s="240"/>
      <c r="E83" s="241"/>
      <c r="F83" s="70"/>
      <c r="G83" s="71"/>
      <c r="H83" s="71"/>
      <c r="I83" s="240" t="s">
        <v>193</v>
      </c>
      <c r="J83" s="240"/>
      <c r="K83" s="241"/>
      <c r="L83" s="49"/>
      <c r="M83" s="49"/>
      <c r="N83" s="49"/>
      <c r="O83" s="49"/>
      <c r="P83" s="49"/>
      <c r="Q83" s="49"/>
      <c r="R83" s="72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>
        <f t="shared" si="34"/>
        <v>0</v>
      </c>
      <c r="AD83" s="49"/>
      <c r="AE83" s="49"/>
      <c r="AF83" s="49"/>
      <c r="AG83" s="49"/>
      <c r="AH83" s="49"/>
      <c r="AI83" s="49"/>
      <c r="AJ83" s="49"/>
      <c r="AK83" s="49"/>
      <c r="AL83" s="49"/>
      <c r="AM83" s="49"/>
      <c r="AN83" s="49"/>
      <c r="AO83" s="49"/>
      <c r="AP83" s="49"/>
      <c r="AQ83" s="49">
        <f>AK83+AL83+AM83+AN83+AO83+AP83</f>
        <v>0</v>
      </c>
      <c r="AR83" s="49"/>
      <c r="AS83" s="49">
        <f t="shared" si="38"/>
        <v>0</v>
      </c>
      <c r="AT83" s="49"/>
      <c r="AU83" s="49"/>
      <c r="AV83" s="49"/>
      <c r="AW83" s="49"/>
      <c r="AX83" s="49"/>
      <c r="AY83" s="49"/>
      <c r="AZ83" s="73">
        <f t="shared" si="18"/>
        <v>0</v>
      </c>
    </row>
    <row r="84" spans="1:54" ht="20.100000000000001" hidden="1" customHeight="1">
      <c r="A84" s="68"/>
      <c r="B84" s="69"/>
      <c r="C84" s="240" t="s">
        <v>216</v>
      </c>
      <c r="D84" s="240"/>
      <c r="E84" s="241"/>
      <c r="F84" s="70"/>
      <c r="G84" s="71"/>
      <c r="H84" s="71"/>
      <c r="I84" s="71"/>
      <c r="J84" s="240" t="s">
        <v>195</v>
      </c>
      <c r="K84" s="241"/>
      <c r="L84" s="49">
        <v>15000000</v>
      </c>
      <c r="M84" s="49">
        <v>4200000</v>
      </c>
      <c r="N84" s="49">
        <v>2937500</v>
      </c>
      <c r="O84" s="49"/>
      <c r="P84" s="49"/>
      <c r="Q84" s="49">
        <f>SUM(N84:P84)</f>
        <v>2937500</v>
      </c>
      <c r="R84" s="72">
        <f t="shared" si="14"/>
        <v>69.94047619047619</v>
      </c>
      <c r="S84" s="49">
        <f>M84-Q84</f>
        <v>1262500</v>
      </c>
      <c r="T84" s="49">
        <v>5800000</v>
      </c>
      <c r="U84" s="49">
        <f>T84+M84</f>
        <v>10000000</v>
      </c>
      <c r="V84" s="49">
        <f>T84+S84</f>
        <v>7062500</v>
      </c>
      <c r="W84" s="49">
        <f>875000+2612500</f>
        <v>3487500</v>
      </c>
      <c r="X84" s="49"/>
      <c r="Y84" s="49"/>
      <c r="Z84" s="49"/>
      <c r="AA84" s="49">
        <v>3000000</v>
      </c>
      <c r="AB84" s="49">
        <v>20875000</v>
      </c>
      <c r="AC84" s="49">
        <f t="shared" si="34"/>
        <v>5875000</v>
      </c>
      <c r="AD84" s="49">
        <f>AA84+T84+M84</f>
        <v>13000000</v>
      </c>
      <c r="AE84" s="49"/>
      <c r="AF84" s="49"/>
      <c r="AG84" s="49">
        <f>3575000+2835000</f>
        <v>6410000</v>
      </c>
      <c r="AH84" s="49"/>
      <c r="AI84" s="49"/>
      <c r="AJ84" s="49"/>
      <c r="AK84" s="49">
        <f>Z84+Y84+X84+W84+N84+AG84+AJ84+AI84+AH84</f>
        <v>12835000</v>
      </c>
      <c r="AL84" s="49">
        <f>AK84/AD84*100</f>
        <v>98.730769230769226</v>
      </c>
      <c r="AM84" s="49"/>
      <c r="AN84" s="49"/>
      <c r="AO84" s="42">
        <v>5000000</v>
      </c>
      <c r="AP84" s="49"/>
      <c r="AQ84" s="49">
        <f>AK84+AM84+AN84+AO84+AP84</f>
        <v>17835000</v>
      </c>
      <c r="AR84" s="49">
        <f>AQ84/AB84*100</f>
        <v>85.437125748502993</v>
      </c>
      <c r="AS84" s="49">
        <f t="shared" si="38"/>
        <v>3040000</v>
      </c>
      <c r="AT84" s="49">
        <v>3091500</v>
      </c>
      <c r="AU84" s="49">
        <f>AT84+U84</f>
        <v>13091500</v>
      </c>
      <c r="AV84" s="49">
        <f>AK84</f>
        <v>12835000</v>
      </c>
      <c r="AW84" s="72">
        <f>AV84/AU84*100</f>
        <v>98.040713440018337</v>
      </c>
      <c r="AX84" s="49">
        <f>AU84-AV84</f>
        <v>256500</v>
      </c>
      <c r="AY84" s="49">
        <f>AS84/AB84*100</f>
        <v>14.562874251497007</v>
      </c>
      <c r="AZ84" s="73">
        <f t="shared" si="18"/>
        <v>12835000</v>
      </c>
    </row>
    <row r="85" spans="1:54" ht="20.100000000000001" hidden="1" customHeight="1">
      <c r="A85" s="68"/>
      <c r="B85" s="69"/>
      <c r="C85" s="240" t="s">
        <v>217</v>
      </c>
      <c r="D85" s="240"/>
      <c r="E85" s="241"/>
      <c r="F85" s="70"/>
      <c r="G85" s="71"/>
      <c r="H85" s="71"/>
      <c r="I85" s="240" t="s">
        <v>157</v>
      </c>
      <c r="J85" s="240"/>
      <c r="K85" s="241"/>
      <c r="L85" s="49"/>
      <c r="M85" s="49"/>
      <c r="N85" s="49"/>
      <c r="O85" s="49"/>
      <c r="P85" s="49"/>
      <c r="Q85" s="49"/>
      <c r="R85" s="72"/>
      <c r="S85" s="49"/>
      <c r="T85" s="49"/>
      <c r="U85" s="49"/>
      <c r="V85" s="49"/>
      <c r="W85" s="49"/>
      <c r="X85" s="49"/>
      <c r="Y85" s="49"/>
      <c r="Z85" s="49"/>
      <c r="AA85" s="49"/>
      <c r="AB85" s="49"/>
      <c r="AC85" s="49">
        <f t="shared" si="34"/>
        <v>0</v>
      </c>
      <c r="AD85" s="49"/>
      <c r="AE85" s="49"/>
      <c r="AF85" s="49"/>
      <c r="AG85" s="49"/>
      <c r="AH85" s="49"/>
      <c r="AI85" s="49"/>
      <c r="AJ85" s="49"/>
      <c r="AK85" s="49"/>
      <c r="AL85" s="49"/>
      <c r="AM85" s="49"/>
      <c r="AN85" s="49"/>
      <c r="AO85" s="49"/>
      <c r="AP85" s="49"/>
      <c r="AQ85" s="49">
        <f>AK85+AL85+AM85+AN85+AO85+AP85</f>
        <v>0</v>
      </c>
      <c r="AR85" s="49"/>
      <c r="AS85" s="49">
        <f t="shared" si="38"/>
        <v>0</v>
      </c>
      <c r="AT85" s="49"/>
      <c r="AU85" s="49"/>
      <c r="AV85" s="49"/>
      <c r="AW85" s="49"/>
      <c r="AX85" s="49"/>
      <c r="AY85" s="49"/>
      <c r="AZ85" s="73">
        <f t="shared" si="18"/>
        <v>0</v>
      </c>
    </row>
    <row r="86" spans="1:54" ht="20.100000000000001" hidden="1" customHeight="1">
      <c r="A86" s="68"/>
      <c r="B86" s="69"/>
      <c r="C86" s="240" t="s">
        <v>218</v>
      </c>
      <c r="D86" s="240"/>
      <c r="E86" s="241"/>
      <c r="F86" s="70"/>
      <c r="G86" s="71"/>
      <c r="H86" s="71"/>
      <c r="I86" s="71"/>
      <c r="J86" s="240" t="s">
        <v>159</v>
      </c>
      <c r="K86" s="241"/>
      <c r="L86" s="49">
        <v>44440000</v>
      </c>
      <c r="M86" s="49">
        <v>11000000</v>
      </c>
      <c r="N86" s="49">
        <v>2270000</v>
      </c>
      <c r="O86" s="49"/>
      <c r="P86" s="49"/>
      <c r="Q86" s="49">
        <f>SUM(N86:P86)</f>
        <v>2270000</v>
      </c>
      <c r="R86" s="72">
        <f t="shared" si="14"/>
        <v>20.636363636363637</v>
      </c>
      <c r="S86" s="49">
        <f>M86-Q86</f>
        <v>8730000</v>
      </c>
      <c r="T86" s="49">
        <v>13340000</v>
      </c>
      <c r="U86" s="49">
        <f>T86+M86</f>
        <v>24340000</v>
      </c>
      <c r="V86" s="49">
        <f>T86+S86</f>
        <v>22070000</v>
      </c>
      <c r="W86" s="49"/>
      <c r="X86" s="49">
        <v>8540000</v>
      </c>
      <c r="Y86" s="49"/>
      <c r="Z86" s="49"/>
      <c r="AA86" s="49">
        <v>14000000</v>
      </c>
      <c r="AB86" s="49">
        <v>44440000</v>
      </c>
      <c r="AC86" s="49">
        <f t="shared" si="34"/>
        <v>0</v>
      </c>
      <c r="AD86" s="49">
        <f>AA86+T86+M86</f>
        <v>38340000</v>
      </c>
      <c r="AE86" s="49">
        <v>5230000</v>
      </c>
      <c r="AF86" s="49">
        <v>0</v>
      </c>
      <c r="AG86" s="49">
        <v>5130000</v>
      </c>
      <c r="AH86" s="49"/>
      <c r="AI86" s="49"/>
      <c r="AJ86" s="49">
        <v>4180000</v>
      </c>
      <c r="AK86" s="49">
        <f>Z86+Y86+X86+W86+N86+AG86+AJ86+AI86+AH86+5230000</f>
        <v>25350000</v>
      </c>
      <c r="AL86" s="49">
        <f>AK86/AD86*100</f>
        <v>66.118935837245701</v>
      </c>
      <c r="AM86" s="48">
        <v>0</v>
      </c>
      <c r="AN86" s="49"/>
      <c r="AO86" s="49"/>
      <c r="AP86" s="49"/>
      <c r="AQ86" s="49">
        <f>AK86+AM86+AN86+AO86+AP86</f>
        <v>25350000</v>
      </c>
      <c r="AR86" s="49">
        <f>AQ86/AB86*100</f>
        <v>57.043204320432039</v>
      </c>
      <c r="AS86" s="49">
        <f t="shared" si="38"/>
        <v>19090000</v>
      </c>
      <c r="AT86" s="49">
        <v>3091500</v>
      </c>
      <c r="AU86" s="49">
        <f>AT86+U86</f>
        <v>27431500</v>
      </c>
      <c r="AV86" s="49">
        <f>AK86</f>
        <v>25350000</v>
      </c>
      <c r="AW86" s="72">
        <f>AV86/AU86*100</f>
        <v>92.412008092885912</v>
      </c>
      <c r="AX86" s="49">
        <f>AU86-AV86</f>
        <v>2081500</v>
      </c>
      <c r="AY86" s="49">
        <f>AS86/AB86*100</f>
        <v>42.956795679567954</v>
      </c>
      <c r="AZ86" s="73">
        <f t="shared" si="18"/>
        <v>25350000</v>
      </c>
      <c r="BB86" s="29">
        <f>AS86</f>
        <v>19090000</v>
      </c>
    </row>
    <row r="87" spans="1:54" ht="20.100000000000001" customHeight="1">
      <c r="A87" s="60" t="s">
        <v>219</v>
      </c>
      <c r="B87" s="75"/>
      <c r="C87" s="247" t="s">
        <v>220</v>
      </c>
      <c r="D87" s="247"/>
      <c r="E87" s="248"/>
      <c r="F87" s="249" t="s">
        <v>221</v>
      </c>
      <c r="G87" s="250"/>
      <c r="H87" s="250"/>
      <c r="I87" s="250"/>
      <c r="J87" s="250"/>
      <c r="K87" s="251"/>
      <c r="L87" s="48">
        <f>L88+L102+L110+L114+L118</f>
        <v>782990000</v>
      </c>
      <c r="M87" s="48">
        <f t="shared" ref="M87:T87" si="41">M88+M102+M110+M114+M118</f>
        <v>152965500</v>
      </c>
      <c r="N87" s="48">
        <f t="shared" si="41"/>
        <v>75620400</v>
      </c>
      <c r="O87" s="48">
        <f t="shared" si="41"/>
        <v>0</v>
      </c>
      <c r="P87" s="48">
        <f t="shared" si="41"/>
        <v>0</v>
      </c>
      <c r="Q87" s="48">
        <f>SUM(N87:P87)</f>
        <v>75620400</v>
      </c>
      <c r="R87" s="61">
        <f t="shared" si="14"/>
        <v>49.436245427890604</v>
      </c>
      <c r="S87" s="48">
        <f>M87-Q87</f>
        <v>77345100</v>
      </c>
      <c r="T87" s="48">
        <f t="shared" si="41"/>
        <v>152720500</v>
      </c>
      <c r="U87" s="48">
        <f>T87+M87</f>
        <v>305686000</v>
      </c>
      <c r="V87" s="48">
        <f>T87+S87</f>
        <v>230065600</v>
      </c>
      <c r="W87" s="48">
        <f>W88+W102+W110+W114+W118</f>
        <v>76068150</v>
      </c>
      <c r="X87" s="48">
        <f>X88+X102+X110+X114+X118</f>
        <v>9735000</v>
      </c>
      <c r="Y87" s="48">
        <f>Y88+Y102+Y110+Y114+Y118</f>
        <v>0</v>
      </c>
      <c r="Z87" s="48"/>
      <c r="AA87" s="48">
        <v>348681000</v>
      </c>
      <c r="AB87" s="48">
        <f>AB88+AB102+AB110+AB114+AB118</f>
        <v>740856000</v>
      </c>
      <c r="AC87" s="48">
        <f t="shared" si="34"/>
        <v>-42134000</v>
      </c>
      <c r="AD87" s="48">
        <f>AA87+T87+M87</f>
        <v>654367000</v>
      </c>
      <c r="AE87" s="48">
        <f t="shared" ref="AE87:AK87" si="42">AE88+AE102+AE110+AE114+AE118</f>
        <v>21300000</v>
      </c>
      <c r="AF87" s="48">
        <f t="shared" si="42"/>
        <v>0</v>
      </c>
      <c r="AG87" s="48">
        <f t="shared" si="42"/>
        <v>76975100</v>
      </c>
      <c r="AH87" s="48">
        <f t="shared" si="42"/>
        <v>0</v>
      </c>
      <c r="AI87" s="48">
        <f t="shared" si="42"/>
        <v>0</v>
      </c>
      <c r="AJ87" s="48">
        <f t="shared" si="42"/>
        <v>59687000</v>
      </c>
      <c r="AK87" s="48">
        <f t="shared" si="42"/>
        <v>319385650</v>
      </c>
      <c r="AL87" s="48">
        <f>AK87/AB87*100</f>
        <v>43.11035477879642</v>
      </c>
      <c r="AM87" s="48">
        <f>AM88+AM102+AM110+AM114+AM118</f>
        <v>182561000</v>
      </c>
      <c r="AN87" s="48">
        <f>AN88+AN102+AN110+AN114+AN118</f>
        <v>0</v>
      </c>
      <c r="AO87" s="48">
        <f>AO88+AO102+AO110+AO114+AO118</f>
        <v>63573550</v>
      </c>
      <c r="AP87" s="48">
        <f>AP88+AP102+AP110+AP114+AP118</f>
        <v>0</v>
      </c>
      <c r="AQ87" s="48">
        <f>AK87+AM87+AN87+AO87+AP87</f>
        <v>565520200</v>
      </c>
      <c r="AR87" s="48">
        <f>AQ87/AB87*100</f>
        <v>76.33334953081301</v>
      </c>
      <c r="AS87" s="48">
        <f t="shared" si="38"/>
        <v>175335800</v>
      </c>
      <c r="AT87" s="48">
        <v>120767500</v>
      </c>
      <c r="AU87" s="48">
        <f>AT87+U87</f>
        <v>426453500</v>
      </c>
      <c r="AV87" s="48">
        <f>AK87</f>
        <v>319385650</v>
      </c>
      <c r="AW87" s="61">
        <f>AV87/AU87*100</f>
        <v>74.893429178093271</v>
      </c>
      <c r="AX87" s="48">
        <f>AU87-AV87</f>
        <v>107067850</v>
      </c>
      <c r="AY87" s="48">
        <f>AS87/AB87*100</f>
        <v>23.666650469186994</v>
      </c>
      <c r="AZ87" s="73">
        <f t="shared" si="18"/>
        <v>501946650</v>
      </c>
    </row>
    <row r="88" spans="1:54" ht="20.100000000000001" customHeight="1">
      <c r="A88" s="62">
        <v>6</v>
      </c>
      <c r="B88" s="63"/>
      <c r="C88" s="242" t="s">
        <v>222</v>
      </c>
      <c r="D88" s="242"/>
      <c r="E88" s="243"/>
      <c r="F88" s="64"/>
      <c r="G88" s="244" t="s">
        <v>3</v>
      </c>
      <c r="H88" s="244"/>
      <c r="I88" s="244"/>
      <c r="J88" s="244"/>
      <c r="K88" s="245"/>
      <c r="L88" s="65">
        <f>SUM(L91:L101)</f>
        <v>165840000</v>
      </c>
      <c r="M88" s="65">
        <f>SUM(M91:M101)</f>
        <v>39311500</v>
      </c>
      <c r="N88" s="65">
        <f>SUM(N91:N101)</f>
        <v>26303500</v>
      </c>
      <c r="O88" s="65">
        <f>SUM(O91:O101)</f>
        <v>0</v>
      </c>
      <c r="P88" s="65">
        <f>SUM(P91:P101)</f>
        <v>0</v>
      </c>
      <c r="Q88" s="65">
        <f>SUM(N88:P88)</f>
        <v>26303500</v>
      </c>
      <c r="R88" s="66">
        <f t="shared" si="14"/>
        <v>66.910446052681777</v>
      </c>
      <c r="S88" s="65">
        <f>M88-Q88</f>
        <v>13008000</v>
      </c>
      <c r="T88" s="65">
        <f>SUM(T91:T101)</f>
        <v>39631500</v>
      </c>
      <c r="U88" s="65">
        <f>T88+M88</f>
        <v>78943000</v>
      </c>
      <c r="V88" s="65">
        <f>T88+S88</f>
        <v>52639500</v>
      </c>
      <c r="W88" s="65">
        <f>SUM(W91:W101)</f>
        <v>23075000</v>
      </c>
      <c r="X88" s="65">
        <f>SUM(X91:X101)</f>
        <v>0</v>
      </c>
      <c r="Y88" s="65">
        <f>SUM(Y91:Y101)</f>
        <v>0</v>
      </c>
      <c r="Z88" s="65"/>
      <c r="AA88" s="65">
        <f>SUM(AA91:AA101)</f>
        <v>47271500</v>
      </c>
      <c r="AB88" s="65">
        <f>SUM(AB91:AB101)</f>
        <v>166200000</v>
      </c>
      <c r="AC88" s="65">
        <f t="shared" si="34"/>
        <v>360000</v>
      </c>
      <c r="AD88" s="65">
        <f>AA88+T88+M88</f>
        <v>126214500</v>
      </c>
      <c r="AE88" s="65">
        <f t="shared" ref="AE88:AK88" si="43">SUM(AE91:AE101)</f>
        <v>21300000</v>
      </c>
      <c r="AF88" s="65">
        <f t="shared" si="43"/>
        <v>0</v>
      </c>
      <c r="AG88" s="65">
        <f t="shared" si="43"/>
        <v>18544800</v>
      </c>
      <c r="AH88" s="65">
        <f t="shared" si="43"/>
        <v>0</v>
      </c>
      <c r="AI88" s="65">
        <f t="shared" si="43"/>
        <v>0</v>
      </c>
      <c r="AJ88" s="65">
        <f t="shared" si="43"/>
        <v>34204850</v>
      </c>
      <c r="AK88" s="65">
        <f t="shared" si="43"/>
        <v>123428150</v>
      </c>
      <c r="AL88" s="65">
        <f>AK88/AB88*100</f>
        <v>74.264831528279188</v>
      </c>
      <c r="AM88" s="65">
        <f>SUM(AM91:AM101)</f>
        <v>0</v>
      </c>
      <c r="AN88" s="65">
        <f>SUM(AN91:AN101)</f>
        <v>0</v>
      </c>
      <c r="AO88" s="42">
        <f>SUM(AO91:AO101)</f>
        <v>16628300</v>
      </c>
      <c r="AP88" s="65">
        <f>SUM(AP91:AP101)</f>
        <v>0</v>
      </c>
      <c r="AQ88" s="65">
        <f>AK88+AM88+AN88+AO88+AP88</f>
        <v>140056450</v>
      </c>
      <c r="AR88" s="65">
        <f>AQ88/AB88*100</f>
        <v>84.269825511432003</v>
      </c>
      <c r="AS88" s="65">
        <f t="shared" si="38"/>
        <v>26143550</v>
      </c>
      <c r="AT88" s="65">
        <f>SUM(AT91:AT97)</f>
        <v>15457500</v>
      </c>
      <c r="AU88" s="65">
        <f>AT88+U88</f>
        <v>94400500</v>
      </c>
      <c r="AV88" s="65">
        <f>AK88</f>
        <v>123428150</v>
      </c>
      <c r="AW88" s="66">
        <f>AV88/AU88*100</f>
        <v>130.74946636935186</v>
      </c>
      <c r="AX88" s="65">
        <f>AU88-AV88</f>
        <v>-29027650</v>
      </c>
      <c r="AY88" s="65">
        <f>AS88/AB88*100</f>
        <v>15.730174488567991</v>
      </c>
      <c r="AZ88" s="67">
        <f t="shared" si="18"/>
        <v>123428150</v>
      </c>
    </row>
    <row r="89" spans="1:54" ht="20.100000000000001" hidden="1" customHeight="1">
      <c r="A89" s="68"/>
      <c r="B89" s="69"/>
      <c r="C89" s="240" t="s">
        <v>223</v>
      </c>
      <c r="D89" s="240"/>
      <c r="E89" s="241"/>
      <c r="F89" s="70"/>
      <c r="G89" s="71"/>
      <c r="H89" s="240" t="s">
        <v>143</v>
      </c>
      <c r="I89" s="240"/>
      <c r="J89" s="240"/>
      <c r="K89" s="241"/>
      <c r="L89" s="49"/>
      <c r="M89" s="49"/>
      <c r="N89" s="49"/>
      <c r="O89" s="49"/>
      <c r="P89" s="49"/>
      <c r="Q89" s="49"/>
      <c r="R89" s="72"/>
      <c r="S89" s="49"/>
      <c r="T89" s="49"/>
      <c r="U89" s="49"/>
      <c r="V89" s="49"/>
      <c r="W89" s="49"/>
      <c r="X89" s="49"/>
      <c r="Y89" s="49"/>
      <c r="Z89" s="49"/>
      <c r="AA89" s="49"/>
      <c r="AB89" s="49"/>
      <c r="AC89" s="49">
        <f t="shared" si="34"/>
        <v>0</v>
      </c>
      <c r="AD89" s="49"/>
      <c r="AE89" s="49"/>
      <c r="AF89" s="49"/>
      <c r="AG89" s="49"/>
      <c r="AH89" s="49"/>
      <c r="AI89" s="49"/>
      <c r="AJ89" s="49"/>
      <c r="AK89" s="49"/>
      <c r="AL89" s="49"/>
      <c r="AM89" s="49"/>
      <c r="AN89" s="49"/>
      <c r="AO89" s="49"/>
      <c r="AP89" s="49"/>
      <c r="AQ89" s="49">
        <f>AK89+AL89+AM89+AN89+AO89+AP89</f>
        <v>0</v>
      </c>
      <c r="AR89" s="49"/>
      <c r="AS89" s="49">
        <f t="shared" si="38"/>
        <v>0</v>
      </c>
      <c r="AT89" s="49"/>
      <c r="AU89" s="49"/>
      <c r="AV89" s="49"/>
      <c r="AW89" s="49"/>
      <c r="AX89" s="49"/>
      <c r="AY89" s="49"/>
      <c r="AZ89" s="73">
        <f t="shared" si="18"/>
        <v>0</v>
      </c>
    </row>
    <row r="90" spans="1:54" ht="20.100000000000001" hidden="1" customHeight="1">
      <c r="A90" s="68"/>
      <c r="B90" s="69"/>
      <c r="C90" s="240" t="s">
        <v>224</v>
      </c>
      <c r="D90" s="240"/>
      <c r="E90" s="241"/>
      <c r="F90" s="70"/>
      <c r="G90" s="71"/>
      <c r="H90" s="71"/>
      <c r="I90" s="240" t="s">
        <v>145</v>
      </c>
      <c r="J90" s="240"/>
      <c r="K90" s="241"/>
      <c r="L90" s="49"/>
      <c r="M90" s="49"/>
      <c r="N90" s="49"/>
      <c r="O90" s="49"/>
      <c r="P90" s="49"/>
      <c r="Q90" s="49"/>
      <c r="R90" s="72"/>
      <c r="S90" s="49"/>
      <c r="T90" s="49"/>
      <c r="U90" s="49"/>
      <c r="V90" s="49"/>
      <c r="W90" s="49"/>
      <c r="X90" s="49"/>
      <c r="Y90" s="49"/>
      <c r="Z90" s="49"/>
      <c r="AA90" s="49"/>
      <c r="AB90" s="49"/>
      <c r="AC90" s="49">
        <f t="shared" si="34"/>
        <v>0</v>
      </c>
      <c r="AD90" s="49"/>
      <c r="AE90" s="49"/>
      <c r="AF90" s="49"/>
      <c r="AG90" s="49"/>
      <c r="AH90" s="49"/>
      <c r="AI90" s="49"/>
      <c r="AJ90" s="49"/>
      <c r="AK90" s="49"/>
      <c r="AL90" s="49"/>
      <c r="AM90" s="49"/>
      <c r="AN90" s="49"/>
      <c r="AO90" s="49"/>
      <c r="AP90" s="49"/>
      <c r="AQ90" s="49">
        <f>AK90+AL90+AM90+AN90+AO90+AP90</f>
        <v>0</v>
      </c>
      <c r="AR90" s="49"/>
      <c r="AS90" s="49">
        <f t="shared" si="38"/>
        <v>0</v>
      </c>
      <c r="AT90" s="49"/>
      <c r="AU90" s="49"/>
      <c r="AV90" s="49"/>
      <c r="AW90" s="49"/>
      <c r="AX90" s="49"/>
      <c r="AY90" s="49"/>
      <c r="AZ90" s="73">
        <f t="shared" si="18"/>
        <v>0</v>
      </c>
    </row>
    <row r="91" spans="1:54" ht="20.100000000000001" hidden="1" customHeight="1">
      <c r="A91" s="68"/>
      <c r="B91" s="69"/>
      <c r="C91" s="240" t="s">
        <v>225</v>
      </c>
      <c r="D91" s="240"/>
      <c r="E91" s="241"/>
      <c r="F91" s="70"/>
      <c r="G91" s="71"/>
      <c r="H91" s="71"/>
      <c r="I91" s="71"/>
      <c r="J91" s="240" t="s">
        <v>226</v>
      </c>
      <c r="K91" s="241"/>
      <c r="L91" s="49">
        <v>6488000</v>
      </c>
      <c r="M91" s="49">
        <v>1622000</v>
      </c>
      <c r="N91" s="49">
        <v>1622000</v>
      </c>
      <c r="O91" s="49"/>
      <c r="P91" s="49"/>
      <c r="Q91" s="49">
        <f>SUM(N91:P91)</f>
        <v>1622000</v>
      </c>
      <c r="R91" s="72">
        <f t="shared" si="14"/>
        <v>100</v>
      </c>
      <c r="S91" s="49">
        <f>M91-Q91</f>
        <v>0</v>
      </c>
      <c r="T91" s="49">
        <v>1622000</v>
      </c>
      <c r="U91" s="49">
        <f>T91+M91</f>
        <v>3244000</v>
      </c>
      <c r="V91" s="49">
        <f>T91+S91</f>
        <v>1622000</v>
      </c>
      <c r="W91" s="49"/>
      <c r="X91" s="49"/>
      <c r="Y91" s="49"/>
      <c r="Z91" s="49"/>
      <c r="AA91" s="49">
        <v>1622000</v>
      </c>
      <c r="AB91" s="49">
        <v>6488000</v>
      </c>
      <c r="AC91" s="49">
        <f t="shared" si="34"/>
        <v>0</v>
      </c>
      <c r="AD91" s="49">
        <f>AA91+T91+M91</f>
        <v>4866000</v>
      </c>
      <c r="AE91" s="49"/>
      <c r="AF91" s="49"/>
      <c r="AG91" s="49">
        <v>1622000</v>
      </c>
      <c r="AH91" s="49"/>
      <c r="AI91" s="49"/>
      <c r="AJ91" s="49">
        <v>1619500</v>
      </c>
      <c r="AK91" s="49">
        <f>Z91+Y91+X91+W91+N91+AG91+AJ91+AI91+AH91</f>
        <v>4863500</v>
      </c>
      <c r="AL91" s="49">
        <f>AK91/AD91*100</f>
        <v>99.948623099054672</v>
      </c>
      <c r="AM91" s="49"/>
      <c r="AN91" s="49"/>
      <c r="AO91" s="42">
        <v>1624500</v>
      </c>
      <c r="AP91" s="49"/>
      <c r="AQ91" s="49">
        <f>AK91+AM91+AN91+AO91+AP91</f>
        <v>6488000</v>
      </c>
      <c r="AR91" s="49">
        <f>AQ91/AB91*100</f>
        <v>100</v>
      </c>
      <c r="AS91" s="49">
        <f t="shared" si="38"/>
        <v>0</v>
      </c>
      <c r="AT91" s="49">
        <v>3091500</v>
      </c>
      <c r="AU91" s="49">
        <f>AT91+U91</f>
        <v>6335500</v>
      </c>
      <c r="AV91" s="49">
        <f>AK91</f>
        <v>4863500</v>
      </c>
      <c r="AW91" s="72">
        <f>AV91/AU91*100</f>
        <v>76.765843264146469</v>
      </c>
      <c r="AX91" s="49">
        <f>AU91-AV91</f>
        <v>1472000</v>
      </c>
      <c r="AY91" s="49">
        <f>AS91/AB91*100</f>
        <v>0</v>
      </c>
      <c r="AZ91" s="73">
        <f t="shared" si="18"/>
        <v>4863500</v>
      </c>
    </row>
    <row r="92" spans="1:54" ht="20.100000000000001" hidden="1" customHeight="1">
      <c r="A92" s="68"/>
      <c r="B92" s="69"/>
      <c r="C92" s="240" t="s">
        <v>227</v>
      </c>
      <c r="D92" s="240"/>
      <c r="E92" s="241"/>
      <c r="F92" s="70"/>
      <c r="G92" s="71"/>
      <c r="H92" s="71"/>
      <c r="I92" s="71"/>
      <c r="J92" s="240" t="s">
        <v>228</v>
      </c>
      <c r="K92" s="241"/>
      <c r="L92" s="49">
        <v>12742000</v>
      </c>
      <c r="M92" s="49">
        <v>3185500</v>
      </c>
      <c r="N92" s="49">
        <v>3185500</v>
      </c>
      <c r="O92" s="49"/>
      <c r="P92" s="49"/>
      <c r="Q92" s="49">
        <f>SUM(N92:P92)</f>
        <v>3185500</v>
      </c>
      <c r="R92" s="72">
        <f t="shared" si="14"/>
        <v>100</v>
      </c>
      <c r="S92" s="49">
        <f>M92-Q92</f>
        <v>0</v>
      </c>
      <c r="T92" s="49">
        <v>3185500</v>
      </c>
      <c r="U92" s="49">
        <f>T92+M92</f>
        <v>6371000</v>
      </c>
      <c r="V92" s="49">
        <f>T92+S92</f>
        <v>3185500</v>
      </c>
      <c r="W92" s="49"/>
      <c r="X92" s="49"/>
      <c r="Y92" s="49"/>
      <c r="Z92" s="49"/>
      <c r="AA92" s="49">
        <v>3185500</v>
      </c>
      <c r="AB92" s="49">
        <v>12742000</v>
      </c>
      <c r="AC92" s="49">
        <f t="shared" si="34"/>
        <v>0</v>
      </c>
      <c r="AD92" s="49">
        <f>AA92+T92+M92</f>
        <v>9556500</v>
      </c>
      <c r="AE92" s="49"/>
      <c r="AF92" s="49"/>
      <c r="AG92" s="49">
        <f>3181300+1440000</f>
        <v>4621300</v>
      </c>
      <c r="AH92" s="49"/>
      <c r="AI92" s="49"/>
      <c r="AJ92" s="49">
        <v>1746800</v>
      </c>
      <c r="AK92" s="49">
        <f>Z92+Y92+X92+W92+N92+AG92+AJ92+AI92+AH92</f>
        <v>9553600</v>
      </c>
      <c r="AL92" s="49">
        <f>AK92/AD92*100</f>
        <v>99.969654162088631</v>
      </c>
      <c r="AM92" s="49"/>
      <c r="AN92" s="49"/>
      <c r="AO92" s="42">
        <f>2576900+610900</f>
        <v>3187800</v>
      </c>
      <c r="AP92" s="49"/>
      <c r="AQ92" s="49">
        <f>AK92+AM92+AN92+AO92+AP92</f>
        <v>12741400</v>
      </c>
      <c r="AR92" s="49">
        <f>AQ92/AB92*100</f>
        <v>99.995291163082726</v>
      </c>
      <c r="AS92" s="49">
        <f t="shared" si="38"/>
        <v>600</v>
      </c>
      <c r="AT92" s="49">
        <v>3091500</v>
      </c>
      <c r="AU92" s="49">
        <f>AT92+U92</f>
        <v>9462500</v>
      </c>
      <c r="AV92" s="49">
        <f>AK92</f>
        <v>9553600</v>
      </c>
      <c r="AW92" s="72">
        <f>AV92/AU92*100</f>
        <v>100.96274768824307</v>
      </c>
      <c r="AX92" s="49">
        <f>AU92-AV92</f>
        <v>-91100</v>
      </c>
      <c r="AY92" s="49">
        <f>AS92/AB92*100</f>
        <v>4.7088369172814315E-3</v>
      </c>
      <c r="AZ92" s="73">
        <f t="shared" si="18"/>
        <v>9553600</v>
      </c>
    </row>
    <row r="93" spans="1:54" ht="20.100000000000001" hidden="1" customHeight="1">
      <c r="A93" s="68"/>
      <c r="B93" s="69"/>
      <c r="C93" s="240" t="s">
        <v>229</v>
      </c>
      <c r="D93" s="240"/>
      <c r="E93" s="241"/>
      <c r="F93" s="70"/>
      <c r="G93" s="71"/>
      <c r="H93" s="71"/>
      <c r="I93" s="240" t="s">
        <v>163</v>
      </c>
      <c r="J93" s="240"/>
      <c r="K93" s="241"/>
      <c r="L93" s="49"/>
      <c r="M93" s="49"/>
      <c r="N93" s="49"/>
      <c r="O93" s="49"/>
      <c r="P93" s="49"/>
      <c r="Q93" s="49"/>
      <c r="R93" s="72"/>
      <c r="S93" s="49"/>
      <c r="T93" s="49"/>
      <c r="U93" s="49"/>
      <c r="V93" s="49"/>
      <c r="W93" s="49"/>
      <c r="X93" s="49"/>
      <c r="Y93" s="49"/>
      <c r="Z93" s="49"/>
      <c r="AA93" s="49"/>
      <c r="AB93" s="49"/>
      <c r="AC93" s="49">
        <f t="shared" si="34"/>
        <v>0</v>
      </c>
      <c r="AD93" s="49"/>
      <c r="AE93" s="49"/>
      <c r="AF93" s="49"/>
      <c r="AG93" s="49"/>
      <c r="AH93" s="49"/>
      <c r="AI93" s="49"/>
      <c r="AJ93" s="49"/>
      <c r="AK93" s="49"/>
      <c r="AL93" s="49"/>
      <c r="AM93" s="49"/>
      <c r="AN93" s="49"/>
      <c r="AO93" s="49"/>
      <c r="AP93" s="49"/>
      <c r="AQ93" s="49"/>
      <c r="AR93" s="49"/>
      <c r="AS93" s="49"/>
      <c r="AT93" s="49"/>
      <c r="AU93" s="49"/>
      <c r="AV93" s="49"/>
      <c r="AW93" s="49"/>
      <c r="AX93" s="49"/>
      <c r="AY93" s="49"/>
      <c r="AZ93" s="73">
        <f t="shared" si="18"/>
        <v>0</v>
      </c>
    </row>
    <row r="94" spans="1:54" ht="20.100000000000001" hidden="1" customHeight="1">
      <c r="A94" s="68"/>
      <c r="B94" s="69"/>
      <c r="C94" s="240" t="s">
        <v>230</v>
      </c>
      <c r="D94" s="240"/>
      <c r="E94" s="241"/>
      <c r="F94" s="70"/>
      <c r="G94" s="71"/>
      <c r="H94" s="71"/>
      <c r="I94" s="71"/>
      <c r="J94" s="240" t="s">
        <v>231</v>
      </c>
      <c r="K94" s="241"/>
      <c r="L94" s="49">
        <v>133000000</v>
      </c>
      <c r="M94" s="49">
        <v>33280000</v>
      </c>
      <c r="N94" s="49">
        <f>8300000+13100000</f>
        <v>21400000</v>
      </c>
      <c r="O94" s="49"/>
      <c r="P94" s="49"/>
      <c r="Q94" s="49">
        <f>SUM(N94:P94)</f>
        <v>21400000</v>
      </c>
      <c r="R94" s="72">
        <f t="shared" si="14"/>
        <v>64.302884615384613</v>
      </c>
      <c r="S94" s="49">
        <f>M94-Q94</f>
        <v>11880000</v>
      </c>
      <c r="T94" s="49">
        <v>33240000</v>
      </c>
      <c r="U94" s="49">
        <f>T94+M94</f>
        <v>66520000</v>
      </c>
      <c r="V94" s="49">
        <f>T94+S94</f>
        <v>45120000</v>
      </c>
      <c r="W94" s="49">
        <f>8500000+13300000</f>
        <v>21800000</v>
      </c>
      <c r="X94" s="49"/>
      <c r="Y94" s="49"/>
      <c r="Z94" s="49"/>
      <c r="AA94" s="49">
        <v>33240000</v>
      </c>
      <c r="AB94" s="49">
        <v>133000000</v>
      </c>
      <c r="AC94" s="49">
        <f t="shared" si="34"/>
        <v>0</v>
      </c>
      <c r="AD94" s="49">
        <f>AA94+T94+M94</f>
        <v>99760000</v>
      </c>
      <c r="AE94" s="49">
        <v>21300000</v>
      </c>
      <c r="AF94" s="49">
        <v>0</v>
      </c>
      <c r="AG94" s="49">
        <f>4400000+7000000</f>
        <v>11400000</v>
      </c>
      <c r="AH94" s="49"/>
      <c r="AI94" s="49"/>
      <c r="AJ94" s="49">
        <f>4400000+6700000+4200000+6600000</f>
        <v>21900000</v>
      </c>
      <c r="AK94" s="49">
        <f>Z94+Y94+X94+W94+N94+AG94+AJ94+AI94+AH94+21300000</f>
        <v>97800000</v>
      </c>
      <c r="AL94" s="49">
        <f>AK94/AD94*100</f>
        <v>98.03528468323978</v>
      </c>
      <c r="AM94" s="49"/>
      <c r="AN94" s="49"/>
      <c r="AO94" s="42">
        <f>4450000+7150000</f>
        <v>11600000</v>
      </c>
      <c r="AP94" s="49"/>
      <c r="AQ94" s="49">
        <f>AK94+AM94+AN94+AO94+AP94</f>
        <v>109400000</v>
      </c>
      <c r="AR94" s="49">
        <f>AQ94/AB94*100</f>
        <v>82.255639097744364</v>
      </c>
      <c r="AS94" s="49">
        <f>AB94-AQ94</f>
        <v>23600000</v>
      </c>
      <c r="AT94" s="49">
        <v>3091500</v>
      </c>
      <c r="AU94" s="49">
        <f>AT94+U94</f>
        <v>69611500</v>
      </c>
      <c r="AV94" s="49">
        <f>AK94</f>
        <v>97800000</v>
      </c>
      <c r="AW94" s="72">
        <f>AV94/AU94*100</f>
        <v>140.49402756728415</v>
      </c>
      <c r="AX94" s="49">
        <f>AU94-AV94</f>
        <v>-28188500</v>
      </c>
      <c r="AY94" s="49">
        <f>AS94/AB94*100</f>
        <v>17.744360902255639</v>
      </c>
      <c r="AZ94" s="73">
        <f t="shared" si="18"/>
        <v>97800000</v>
      </c>
    </row>
    <row r="95" spans="1:54" ht="20.100000000000001" hidden="1" customHeight="1">
      <c r="A95" s="68"/>
      <c r="B95" s="69"/>
      <c r="C95" s="240" t="s">
        <v>232</v>
      </c>
      <c r="D95" s="240"/>
      <c r="E95" s="241"/>
      <c r="F95" s="70"/>
      <c r="G95" s="71"/>
      <c r="H95" s="71"/>
      <c r="I95" s="240" t="s">
        <v>233</v>
      </c>
      <c r="J95" s="240"/>
      <c r="K95" s="241"/>
      <c r="L95" s="49"/>
      <c r="M95" s="49"/>
      <c r="N95" s="49"/>
      <c r="O95" s="49"/>
      <c r="P95" s="49"/>
      <c r="Q95" s="49"/>
      <c r="R95" s="72"/>
      <c r="S95" s="49"/>
      <c r="T95" s="49"/>
      <c r="U95" s="49"/>
      <c r="V95" s="49"/>
      <c r="W95" s="49"/>
      <c r="X95" s="49"/>
      <c r="Y95" s="49"/>
      <c r="Z95" s="49"/>
      <c r="AA95" s="49"/>
      <c r="AB95" s="49"/>
      <c r="AC95" s="49">
        <f t="shared" si="34"/>
        <v>0</v>
      </c>
      <c r="AD95" s="49"/>
      <c r="AE95" s="49"/>
      <c r="AF95" s="49"/>
      <c r="AG95" s="49"/>
      <c r="AH95" s="49"/>
      <c r="AI95" s="49"/>
      <c r="AJ95" s="49"/>
      <c r="AK95" s="49"/>
      <c r="AL95" s="49"/>
      <c r="AM95" s="49"/>
      <c r="AN95" s="49"/>
      <c r="AO95" s="49"/>
      <c r="AP95" s="49"/>
      <c r="AQ95" s="49"/>
      <c r="AR95" s="49"/>
      <c r="AS95" s="49"/>
      <c r="AT95" s="49"/>
      <c r="AU95" s="49"/>
      <c r="AV95" s="49"/>
      <c r="AW95" s="49"/>
      <c r="AX95" s="49"/>
      <c r="AY95" s="49"/>
      <c r="AZ95" s="73">
        <f t="shared" si="18"/>
        <v>0</v>
      </c>
    </row>
    <row r="96" spans="1:54" ht="20.100000000000001" hidden="1" customHeight="1">
      <c r="A96" s="68"/>
      <c r="B96" s="69"/>
      <c r="C96" s="240" t="s">
        <v>234</v>
      </c>
      <c r="D96" s="240"/>
      <c r="E96" s="241"/>
      <c r="F96" s="70"/>
      <c r="G96" s="71"/>
      <c r="H96" s="71"/>
      <c r="I96" s="71"/>
      <c r="J96" s="240" t="s">
        <v>235</v>
      </c>
      <c r="K96" s="241"/>
      <c r="L96" s="49">
        <v>720000</v>
      </c>
      <c r="M96" s="49">
        <v>0</v>
      </c>
      <c r="N96" s="49"/>
      <c r="O96" s="49"/>
      <c r="P96" s="49"/>
      <c r="Q96" s="49">
        <f>SUM(N96:P96)</f>
        <v>0</v>
      </c>
      <c r="R96" s="72"/>
      <c r="S96" s="49">
        <f>M96-Q96</f>
        <v>0</v>
      </c>
      <c r="T96" s="49">
        <v>360000</v>
      </c>
      <c r="U96" s="49">
        <f>T96+M96</f>
        <v>360000</v>
      </c>
      <c r="V96" s="49">
        <f>T96+S96</f>
        <v>360000</v>
      </c>
      <c r="W96" s="49"/>
      <c r="X96" s="49"/>
      <c r="Y96" s="49"/>
      <c r="Z96" s="49"/>
      <c r="AA96" s="49">
        <v>0</v>
      </c>
      <c r="AB96" s="49">
        <v>720000</v>
      </c>
      <c r="AC96" s="49">
        <f t="shared" si="34"/>
        <v>0</v>
      </c>
      <c r="AD96" s="49">
        <f>AA96+T96+M96</f>
        <v>360000</v>
      </c>
      <c r="AE96" s="49"/>
      <c r="AF96" s="49"/>
      <c r="AG96" s="49"/>
      <c r="AH96" s="49"/>
      <c r="AI96" s="49"/>
      <c r="AJ96" s="49">
        <f>120000+240000</f>
        <v>360000</v>
      </c>
      <c r="AK96" s="49">
        <f>Z96+Y96+X96+W96+N96+AG96+AJ96+AI96+AH96</f>
        <v>360000</v>
      </c>
      <c r="AL96" s="49">
        <f>AK96/AD96*100</f>
        <v>100</v>
      </c>
      <c r="AM96" s="49"/>
      <c r="AN96" s="49"/>
      <c r="AO96" s="49"/>
      <c r="AP96" s="49"/>
      <c r="AQ96" s="49">
        <f>AK96+AM96+AN96+AO96+AP96</f>
        <v>360000</v>
      </c>
      <c r="AR96" s="49">
        <f>AQ96/AB96*100</f>
        <v>50</v>
      </c>
      <c r="AS96" s="49">
        <f>AB96-AQ96</f>
        <v>360000</v>
      </c>
      <c r="AT96" s="49">
        <v>3091500</v>
      </c>
      <c r="AU96" s="49">
        <f>AT96+U96</f>
        <v>3451500</v>
      </c>
      <c r="AV96" s="49">
        <f>AK96</f>
        <v>360000</v>
      </c>
      <c r="AW96" s="72">
        <f>AV96/AU96*100</f>
        <v>10.430247718383312</v>
      </c>
      <c r="AX96" s="49">
        <f>AU96-AV96</f>
        <v>3091500</v>
      </c>
      <c r="AY96" s="49">
        <f>AS96/AB96*100</f>
        <v>50</v>
      </c>
      <c r="AZ96" s="73">
        <f t="shared" si="18"/>
        <v>360000</v>
      </c>
    </row>
    <row r="97" spans="1:52" ht="20.100000000000001" hidden="1" customHeight="1">
      <c r="A97" s="68"/>
      <c r="B97" s="69"/>
      <c r="C97" s="240" t="s">
        <v>236</v>
      </c>
      <c r="D97" s="240"/>
      <c r="E97" s="241"/>
      <c r="F97" s="70"/>
      <c r="G97" s="71"/>
      <c r="H97" s="71"/>
      <c r="I97" s="71"/>
      <c r="J97" s="240" t="s">
        <v>237</v>
      </c>
      <c r="K97" s="241"/>
      <c r="L97" s="49">
        <v>4050000</v>
      </c>
      <c r="M97" s="49">
        <v>1014000</v>
      </c>
      <c r="N97" s="49"/>
      <c r="O97" s="49"/>
      <c r="P97" s="49"/>
      <c r="Q97" s="49">
        <f>SUM(N97:P97)</f>
        <v>0</v>
      </c>
      <c r="R97" s="72">
        <f t="shared" si="14"/>
        <v>0</v>
      </c>
      <c r="S97" s="49">
        <f>M97-Q97</f>
        <v>1014000</v>
      </c>
      <c r="T97" s="49">
        <v>1014000</v>
      </c>
      <c r="U97" s="49">
        <f>T97+M97</f>
        <v>2028000</v>
      </c>
      <c r="V97" s="49">
        <f>T97+S97</f>
        <v>2028000</v>
      </c>
      <c r="W97" s="49">
        <f>235800+943200+96000</f>
        <v>1275000</v>
      </c>
      <c r="X97" s="49"/>
      <c r="Y97" s="49"/>
      <c r="Z97" s="49"/>
      <c r="AA97" s="49">
        <v>1014000</v>
      </c>
      <c r="AB97" s="49">
        <v>4050000</v>
      </c>
      <c r="AC97" s="49">
        <f t="shared" si="34"/>
        <v>0</v>
      </c>
      <c r="AD97" s="49">
        <f>AA97+T97+M97</f>
        <v>3042000</v>
      </c>
      <c r="AE97" s="49"/>
      <c r="AF97" s="49"/>
      <c r="AG97" s="49">
        <f>117900+471600-96000</f>
        <v>493500</v>
      </c>
      <c r="AH97" s="49"/>
      <c r="AI97" s="49"/>
      <c r="AJ97" s="49">
        <f>176850+353700</f>
        <v>530550</v>
      </c>
      <c r="AK97" s="49">
        <f>Z97+Y97+X97+W97+N97+AG97+AJ97+AI97+AH97</f>
        <v>2299050</v>
      </c>
      <c r="AL97" s="49">
        <f>AK97/AD97*100</f>
        <v>75.57692307692308</v>
      </c>
      <c r="AM97" s="49"/>
      <c r="AN97" s="49"/>
      <c r="AO97" s="49"/>
      <c r="AP97" s="49"/>
      <c r="AQ97" s="49">
        <f>AK97+AM97+AN97+AO97+AP97</f>
        <v>2299050</v>
      </c>
      <c r="AR97" s="49">
        <f>AQ97/AB97*100</f>
        <v>56.766666666666666</v>
      </c>
      <c r="AS97" s="49">
        <f>AB97-AQ97</f>
        <v>1750950</v>
      </c>
      <c r="AT97" s="49">
        <v>3091500</v>
      </c>
      <c r="AU97" s="49">
        <f>AT97+U97</f>
        <v>5119500</v>
      </c>
      <c r="AV97" s="49">
        <f>AK97</f>
        <v>2299050</v>
      </c>
      <c r="AW97" s="72">
        <f>AV97/AU97*100</f>
        <v>44.907705830647529</v>
      </c>
      <c r="AX97" s="49">
        <f>AU97-AV97</f>
        <v>2820450</v>
      </c>
      <c r="AY97" s="49">
        <f>AS97/AB97*100</f>
        <v>43.233333333333334</v>
      </c>
      <c r="AZ97" s="73">
        <f t="shared" si="18"/>
        <v>2299050</v>
      </c>
    </row>
    <row r="98" spans="1:52" ht="20.100000000000001" hidden="1" customHeight="1">
      <c r="A98" s="68"/>
      <c r="B98" s="69"/>
      <c r="C98" s="240" t="s">
        <v>238</v>
      </c>
      <c r="D98" s="240"/>
      <c r="E98" s="241"/>
      <c r="F98" s="70"/>
      <c r="G98" s="71"/>
      <c r="H98" s="71"/>
      <c r="I98" s="240" t="s">
        <v>239</v>
      </c>
      <c r="J98" s="240"/>
      <c r="K98" s="241"/>
      <c r="L98" s="49"/>
      <c r="M98" s="49"/>
      <c r="N98" s="49"/>
      <c r="O98" s="49"/>
      <c r="P98" s="49"/>
      <c r="Q98" s="49"/>
      <c r="R98" s="72"/>
      <c r="S98" s="49"/>
      <c r="T98" s="49"/>
      <c r="U98" s="49"/>
      <c r="V98" s="49"/>
      <c r="W98" s="49"/>
      <c r="X98" s="49"/>
      <c r="Y98" s="49"/>
      <c r="Z98" s="49"/>
      <c r="AA98" s="49"/>
      <c r="AB98" s="49"/>
      <c r="AC98" s="49">
        <f t="shared" si="34"/>
        <v>0</v>
      </c>
      <c r="AD98" s="49"/>
      <c r="AE98" s="49"/>
      <c r="AF98" s="49"/>
      <c r="AG98" s="49"/>
      <c r="AH98" s="49"/>
      <c r="AI98" s="49"/>
      <c r="AJ98" s="49"/>
      <c r="AK98" s="49"/>
      <c r="AL98" s="49"/>
      <c r="AM98" s="49"/>
      <c r="AN98" s="49"/>
      <c r="AO98" s="49"/>
      <c r="AP98" s="49"/>
      <c r="AQ98" s="49"/>
      <c r="AR98" s="49"/>
      <c r="AS98" s="49"/>
      <c r="AT98" s="49"/>
      <c r="AU98" s="49"/>
      <c r="AV98" s="49"/>
      <c r="AW98" s="49"/>
      <c r="AX98" s="49"/>
      <c r="AY98" s="49"/>
      <c r="AZ98" s="73">
        <f t="shared" si="18"/>
        <v>0</v>
      </c>
    </row>
    <row r="99" spans="1:52" ht="20.100000000000001" hidden="1" customHeight="1">
      <c r="A99" s="68"/>
      <c r="B99" s="69"/>
      <c r="C99" s="240" t="s">
        <v>240</v>
      </c>
      <c r="D99" s="240"/>
      <c r="E99" s="241"/>
      <c r="F99" s="70"/>
      <c r="G99" s="71"/>
      <c r="H99" s="71"/>
      <c r="I99" s="71"/>
      <c r="J99" s="240" t="s">
        <v>241</v>
      </c>
      <c r="K99" s="241"/>
      <c r="L99" s="49">
        <v>8000000</v>
      </c>
      <c r="M99" s="49">
        <v>0</v>
      </c>
      <c r="N99" s="49"/>
      <c r="O99" s="49"/>
      <c r="P99" s="49"/>
      <c r="Q99" s="49">
        <f>SUM(N99:P99)</f>
        <v>0</v>
      </c>
      <c r="R99" s="72"/>
      <c r="S99" s="49">
        <f>M99-Q99</f>
        <v>0</v>
      </c>
      <c r="T99" s="49">
        <v>0</v>
      </c>
      <c r="U99" s="49">
        <f>T99+M99</f>
        <v>0</v>
      </c>
      <c r="V99" s="49">
        <f>T99+S99</f>
        <v>0</v>
      </c>
      <c r="W99" s="49"/>
      <c r="X99" s="49"/>
      <c r="Y99" s="49"/>
      <c r="Z99" s="49"/>
      <c r="AA99" s="49">
        <v>8000000</v>
      </c>
      <c r="AB99" s="49">
        <v>8000000</v>
      </c>
      <c r="AC99" s="49">
        <f t="shared" si="34"/>
        <v>0</v>
      </c>
      <c r="AD99" s="49">
        <f>AA99+T99+M99</f>
        <v>8000000</v>
      </c>
      <c r="AE99" s="49"/>
      <c r="AF99" s="49"/>
      <c r="AG99" s="49"/>
      <c r="AH99" s="49"/>
      <c r="AI99" s="49"/>
      <c r="AJ99" s="49">
        <v>8000000</v>
      </c>
      <c r="AK99" s="49">
        <f>Z99+Y99+X99+W99+N99+AG99+AJ99+AI99+AH99</f>
        <v>8000000</v>
      </c>
      <c r="AL99" s="49">
        <f>AK99/AD99*100</f>
        <v>100</v>
      </c>
      <c r="AM99" s="49"/>
      <c r="AN99" s="49"/>
      <c r="AO99" s="49"/>
      <c r="AP99" s="49"/>
      <c r="AQ99" s="49">
        <f>AK99+AM99+AN99+AO99+AP99</f>
        <v>8000000</v>
      </c>
      <c r="AR99" s="49">
        <f>AQ99/AB99*100</f>
        <v>100</v>
      </c>
      <c r="AS99" s="49">
        <f>AB99-AQ99</f>
        <v>0</v>
      </c>
      <c r="AT99" s="49">
        <v>3091500</v>
      </c>
      <c r="AU99" s="49">
        <f>AT99+U99</f>
        <v>3091500</v>
      </c>
      <c r="AV99" s="49">
        <f>AK99</f>
        <v>8000000</v>
      </c>
      <c r="AW99" s="72">
        <f>AV99/AU99*100</f>
        <v>258.77405790069542</v>
      </c>
      <c r="AX99" s="49">
        <f>AU99-AV99</f>
        <v>-4908500</v>
      </c>
      <c r="AY99" s="49">
        <f>AS99/AB99*100</f>
        <v>0</v>
      </c>
      <c r="AZ99" s="73">
        <f t="shared" si="18"/>
        <v>8000000</v>
      </c>
    </row>
    <row r="100" spans="1:52" ht="20.100000000000001" hidden="1" customHeight="1">
      <c r="A100" s="68"/>
      <c r="B100" s="69"/>
      <c r="C100" s="240" t="s">
        <v>242</v>
      </c>
      <c r="D100" s="240"/>
      <c r="E100" s="241"/>
      <c r="F100" s="70"/>
      <c r="G100" s="71"/>
      <c r="H100" s="71"/>
      <c r="I100" s="240" t="s">
        <v>243</v>
      </c>
      <c r="J100" s="240"/>
      <c r="K100" s="241"/>
      <c r="L100" s="49"/>
      <c r="M100" s="49"/>
      <c r="N100" s="49"/>
      <c r="O100" s="49"/>
      <c r="P100" s="49"/>
      <c r="Q100" s="49"/>
      <c r="R100" s="72"/>
      <c r="S100" s="49"/>
      <c r="T100" s="49"/>
      <c r="U100" s="49"/>
      <c r="V100" s="49"/>
      <c r="W100" s="49"/>
      <c r="X100" s="49"/>
      <c r="Y100" s="49"/>
      <c r="Z100" s="49"/>
      <c r="AA100" s="49"/>
      <c r="AB100" s="49"/>
      <c r="AC100" s="49">
        <f t="shared" si="34"/>
        <v>0</v>
      </c>
      <c r="AD100" s="49"/>
      <c r="AE100" s="49"/>
      <c r="AF100" s="49"/>
      <c r="AG100" s="49"/>
      <c r="AH100" s="49"/>
      <c r="AI100" s="49"/>
      <c r="AJ100" s="49"/>
      <c r="AK100" s="49"/>
      <c r="AL100" s="49"/>
      <c r="AM100" s="49"/>
      <c r="AN100" s="49"/>
      <c r="AO100" s="49"/>
      <c r="AP100" s="49"/>
      <c r="AQ100" s="49"/>
      <c r="AR100" s="49"/>
      <c r="AS100" s="49"/>
      <c r="AT100" s="49"/>
      <c r="AU100" s="49"/>
      <c r="AV100" s="49"/>
      <c r="AW100" s="49"/>
      <c r="AX100" s="49"/>
      <c r="AY100" s="49"/>
      <c r="AZ100" s="73">
        <f t="shared" ref="AZ100:AZ163" si="44">AQ100-AO100</f>
        <v>0</v>
      </c>
    </row>
    <row r="101" spans="1:52" ht="20.100000000000001" hidden="1" customHeight="1">
      <c r="A101" s="68"/>
      <c r="B101" s="69"/>
      <c r="C101" s="240" t="s">
        <v>244</v>
      </c>
      <c r="D101" s="240"/>
      <c r="E101" s="241"/>
      <c r="F101" s="70"/>
      <c r="G101" s="71"/>
      <c r="H101" s="71"/>
      <c r="I101" s="71"/>
      <c r="J101" s="240" t="s">
        <v>245</v>
      </c>
      <c r="K101" s="241"/>
      <c r="L101" s="49">
        <v>840000</v>
      </c>
      <c r="M101" s="49">
        <v>210000</v>
      </c>
      <c r="N101" s="49">
        <v>96000</v>
      </c>
      <c r="O101" s="49"/>
      <c r="P101" s="49"/>
      <c r="Q101" s="49">
        <f>SUM(N101:P101)</f>
        <v>96000</v>
      </c>
      <c r="R101" s="72">
        <f>Q101/M101*100</f>
        <v>45.714285714285715</v>
      </c>
      <c r="S101" s="49">
        <f>M101-Q101</f>
        <v>114000</v>
      </c>
      <c r="T101" s="49">
        <v>210000</v>
      </c>
      <c r="U101" s="49">
        <f>T101+M101</f>
        <v>420000</v>
      </c>
      <c r="V101" s="49">
        <f>T101+S101</f>
        <v>324000</v>
      </c>
      <c r="W101" s="49"/>
      <c r="X101" s="49"/>
      <c r="Y101" s="49"/>
      <c r="Z101" s="49"/>
      <c r="AA101" s="49">
        <v>210000</v>
      </c>
      <c r="AB101" s="49">
        <v>1200000</v>
      </c>
      <c r="AC101" s="49">
        <f t="shared" si="34"/>
        <v>360000</v>
      </c>
      <c r="AD101" s="49">
        <f>AA101+T101+M101</f>
        <v>630000</v>
      </c>
      <c r="AE101" s="49"/>
      <c r="AF101" s="49"/>
      <c r="AG101" s="49">
        <f>216000+96000+96000</f>
        <v>408000</v>
      </c>
      <c r="AH101" s="49"/>
      <c r="AI101" s="49"/>
      <c r="AJ101" s="49">
        <v>48000</v>
      </c>
      <c r="AK101" s="49">
        <f>Z101+Y101+X101+W101+N101+AG101+AJ101+AI101+AH101</f>
        <v>552000</v>
      </c>
      <c r="AL101" s="49">
        <f>AK101/AD101*100</f>
        <v>87.61904761904762</v>
      </c>
      <c r="AM101" s="49"/>
      <c r="AN101" s="49"/>
      <c r="AO101" s="42">
        <v>216000</v>
      </c>
      <c r="AP101" s="49"/>
      <c r="AQ101" s="49">
        <f>AK101+AM101+AN101+AO101+AP101</f>
        <v>768000</v>
      </c>
      <c r="AR101" s="49">
        <f>AQ101/AB101*100</f>
        <v>64</v>
      </c>
      <c r="AS101" s="49">
        <f t="shared" ref="AS101:AS110" si="45">AB101-AQ101</f>
        <v>432000</v>
      </c>
      <c r="AT101" s="49">
        <v>3091500</v>
      </c>
      <c r="AU101" s="49">
        <f>AT101+U101</f>
        <v>3511500</v>
      </c>
      <c r="AV101" s="49">
        <f>AK101</f>
        <v>552000</v>
      </c>
      <c r="AW101" s="72">
        <f>AV101/AU101*100</f>
        <v>15.719777872703972</v>
      </c>
      <c r="AX101" s="49">
        <f>AU101-AV101</f>
        <v>2959500</v>
      </c>
      <c r="AY101" s="49">
        <f>AS101/AB101*100</f>
        <v>36</v>
      </c>
      <c r="AZ101" s="73">
        <f t="shared" si="44"/>
        <v>552000</v>
      </c>
    </row>
    <row r="102" spans="1:52" ht="20.100000000000001" customHeight="1">
      <c r="A102" s="62">
        <v>7</v>
      </c>
      <c r="B102" s="63"/>
      <c r="C102" s="242" t="s">
        <v>246</v>
      </c>
      <c r="D102" s="242"/>
      <c r="E102" s="243"/>
      <c r="F102" s="64"/>
      <c r="G102" s="244" t="s">
        <v>4</v>
      </c>
      <c r="H102" s="244"/>
      <c r="I102" s="244"/>
      <c r="J102" s="244"/>
      <c r="K102" s="245"/>
      <c r="L102" s="65">
        <f>SUM(L105:L109)</f>
        <v>355150000</v>
      </c>
      <c r="M102" s="65">
        <f>SUM(M105:M109)</f>
        <v>87904000</v>
      </c>
      <c r="N102" s="65">
        <f>SUM(N105:N109)</f>
        <v>40819900</v>
      </c>
      <c r="O102" s="65">
        <f>SUM(O105:O109)</f>
        <v>0</v>
      </c>
      <c r="P102" s="65">
        <f>SUM(P105:P109)</f>
        <v>0</v>
      </c>
      <c r="Q102" s="65">
        <f>SUM(N102:P102)</f>
        <v>40819900</v>
      </c>
      <c r="R102" s="66">
        <f>Q102/M102*100</f>
        <v>46.436908445576989</v>
      </c>
      <c r="S102" s="65">
        <f>M102-Q102</f>
        <v>47084100</v>
      </c>
      <c r="T102" s="65">
        <f>SUM(T105:T109)</f>
        <v>96731000</v>
      </c>
      <c r="U102" s="65">
        <f>T102+M102</f>
        <v>184635000</v>
      </c>
      <c r="V102" s="65">
        <f>T102+S102</f>
        <v>143815100</v>
      </c>
      <c r="W102" s="65">
        <f>SUM(W105:W109)</f>
        <v>33578150</v>
      </c>
      <c r="X102" s="65">
        <f>SUM(X105:X109)</f>
        <v>0</v>
      </c>
      <c r="Y102" s="65">
        <f>SUM(Y105:Y109)</f>
        <v>0</v>
      </c>
      <c r="Z102" s="65"/>
      <c r="AA102" s="65">
        <f>SUM(AA105:AA109)</f>
        <v>81517500</v>
      </c>
      <c r="AB102" s="65">
        <f>SUM(AB105:AB109)</f>
        <v>312656000</v>
      </c>
      <c r="AC102" s="65">
        <f t="shared" si="34"/>
        <v>-42494000</v>
      </c>
      <c r="AD102" s="65">
        <f>AA102+T102+M102</f>
        <v>266152500</v>
      </c>
      <c r="AE102" s="65">
        <f t="shared" ref="AE102:AK102" si="46">SUM(AE105:AE109)</f>
        <v>0</v>
      </c>
      <c r="AF102" s="65">
        <f t="shared" si="46"/>
        <v>0</v>
      </c>
      <c r="AG102" s="65">
        <f t="shared" si="46"/>
        <v>41225300</v>
      </c>
      <c r="AH102" s="65">
        <f t="shared" si="46"/>
        <v>0</v>
      </c>
      <c r="AI102" s="65">
        <f t="shared" si="46"/>
        <v>0</v>
      </c>
      <c r="AJ102" s="65">
        <f t="shared" si="46"/>
        <v>25482150</v>
      </c>
      <c r="AK102" s="65">
        <f t="shared" si="46"/>
        <v>141105500</v>
      </c>
      <c r="AL102" s="65">
        <f>AK102/AB102*100</f>
        <v>45.131230489739522</v>
      </c>
      <c r="AM102" s="65">
        <f>SUM(AM105:AM109)</f>
        <v>0</v>
      </c>
      <c r="AN102" s="65">
        <f>SUM(AN105:AN109)</f>
        <v>0</v>
      </c>
      <c r="AO102" s="42">
        <f>SUM(AO105:AO109)</f>
        <v>24227250</v>
      </c>
      <c r="AP102" s="65">
        <f>SUM(AP105:AP109)</f>
        <v>0</v>
      </c>
      <c r="AQ102" s="65">
        <f>AK102+AM102+AN102+AO102+AP102</f>
        <v>165332750</v>
      </c>
      <c r="AR102" s="65">
        <f>AQ102/AB102*100</f>
        <v>52.880082262934344</v>
      </c>
      <c r="AS102" s="65">
        <f t="shared" si="45"/>
        <v>147323250</v>
      </c>
      <c r="AT102" s="65">
        <f>SUM(AT105:AT111)</f>
        <v>430315500</v>
      </c>
      <c r="AU102" s="65">
        <f>AT102+U102</f>
        <v>614950500</v>
      </c>
      <c r="AV102" s="65">
        <f>AK102</f>
        <v>141105500</v>
      </c>
      <c r="AW102" s="66">
        <f>AV102/AU102*100</f>
        <v>22.945830599373444</v>
      </c>
      <c r="AX102" s="65">
        <f>AU102-AV102</f>
        <v>473845000</v>
      </c>
      <c r="AY102" s="65">
        <f>AS102/AB102*100</f>
        <v>47.119917737065656</v>
      </c>
      <c r="AZ102" s="67">
        <f t="shared" si="44"/>
        <v>141105500</v>
      </c>
    </row>
    <row r="103" spans="1:52" ht="20.100000000000001" hidden="1" customHeight="1">
      <c r="A103" s="68"/>
      <c r="B103" s="69"/>
      <c r="C103" s="240" t="s">
        <v>247</v>
      </c>
      <c r="D103" s="240"/>
      <c r="E103" s="241"/>
      <c r="F103" s="70"/>
      <c r="G103" s="71"/>
      <c r="H103" s="240" t="s">
        <v>143</v>
      </c>
      <c r="I103" s="240"/>
      <c r="J103" s="240"/>
      <c r="K103" s="241"/>
      <c r="L103" s="49"/>
      <c r="M103" s="49"/>
      <c r="N103" s="49"/>
      <c r="O103" s="49"/>
      <c r="P103" s="49"/>
      <c r="Q103" s="49"/>
      <c r="R103" s="72"/>
      <c r="S103" s="49"/>
      <c r="T103" s="49"/>
      <c r="U103" s="49"/>
      <c r="V103" s="49"/>
      <c r="W103" s="49"/>
      <c r="X103" s="49"/>
      <c r="Y103" s="49"/>
      <c r="Z103" s="49"/>
      <c r="AA103" s="49"/>
      <c r="AB103" s="49"/>
      <c r="AC103" s="49">
        <f t="shared" si="34"/>
        <v>0</v>
      </c>
      <c r="AD103" s="49"/>
      <c r="AE103" s="49"/>
      <c r="AF103" s="49"/>
      <c r="AG103" s="49"/>
      <c r="AH103" s="49"/>
      <c r="AI103" s="49"/>
      <c r="AJ103" s="49"/>
      <c r="AK103" s="49"/>
      <c r="AL103" s="49"/>
      <c r="AM103" s="49"/>
      <c r="AN103" s="49"/>
      <c r="AO103" s="49"/>
      <c r="AP103" s="49"/>
      <c r="AQ103" s="49">
        <f>AK103+AL103+AM103+AN103+AO103+AP103</f>
        <v>0</v>
      </c>
      <c r="AR103" s="49"/>
      <c r="AS103" s="49">
        <f t="shared" si="45"/>
        <v>0</v>
      </c>
      <c r="AT103" s="49"/>
      <c r="AU103" s="49"/>
      <c r="AV103" s="49"/>
      <c r="AW103" s="49"/>
      <c r="AX103" s="49"/>
      <c r="AY103" s="49"/>
      <c r="AZ103" s="73">
        <f t="shared" si="44"/>
        <v>0</v>
      </c>
    </row>
    <row r="104" spans="1:52" ht="20.100000000000001" hidden="1" customHeight="1">
      <c r="A104" s="68"/>
      <c r="B104" s="69"/>
      <c r="C104" s="240" t="s">
        <v>248</v>
      </c>
      <c r="D104" s="240"/>
      <c r="E104" s="241"/>
      <c r="F104" s="70"/>
      <c r="G104" s="71"/>
      <c r="H104" s="71"/>
      <c r="I104" s="240" t="s">
        <v>233</v>
      </c>
      <c r="J104" s="240"/>
      <c r="K104" s="241"/>
      <c r="L104" s="49"/>
      <c r="M104" s="49"/>
      <c r="N104" s="49"/>
      <c r="O104" s="49"/>
      <c r="P104" s="49"/>
      <c r="Q104" s="49"/>
      <c r="R104" s="72"/>
      <c r="S104" s="49"/>
      <c r="T104" s="49"/>
      <c r="U104" s="49"/>
      <c r="V104" s="49"/>
      <c r="W104" s="49"/>
      <c r="X104" s="49"/>
      <c r="Y104" s="49"/>
      <c r="Z104" s="49"/>
      <c r="AA104" s="49"/>
      <c r="AB104" s="49"/>
      <c r="AC104" s="49">
        <f t="shared" si="34"/>
        <v>0</v>
      </c>
      <c r="AD104" s="49"/>
      <c r="AE104" s="49"/>
      <c r="AF104" s="49"/>
      <c r="AG104" s="49"/>
      <c r="AH104" s="49"/>
      <c r="AI104" s="49"/>
      <c r="AJ104" s="49"/>
      <c r="AK104" s="49"/>
      <c r="AL104" s="49"/>
      <c r="AM104" s="49"/>
      <c r="AN104" s="49"/>
      <c r="AO104" s="49"/>
      <c r="AP104" s="49"/>
      <c r="AQ104" s="49">
        <f>AK104+AL104+AM104+AN104+AO104+AP104</f>
        <v>0</v>
      </c>
      <c r="AR104" s="49"/>
      <c r="AS104" s="49">
        <f t="shared" si="45"/>
        <v>0</v>
      </c>
      <c r="AT104" s="49"/>
      <c r="AU104" s="49"/>
      <c r="AV104" s="49"/>
      <c r="AW104" s="49"/>
      <c r="AX104" s="49"/>
      <c r="AY104" s="49"/>
      <c r="AZ104" s="73">
        <f t="shared" si="44"/>
        <v>0</v>
      </c>
    </row>
    <row r="105" spans="1:52" ht="20.100000000000001" hidden="1" customHeight="1">
      <c r="A105" s="68"/>
      <c r="B105" s="69"/>
      <c r="C105" s="240" t="s">
        <v>249</v>
      </c>
      <c r="D105" s="240"/>
      <c r="E105" s="241"/>
      <c r="F105" s="70"/>
      <c r="G105" s="71"/>
      <c r="H105" s="71"/>
      <c r="I105" s="71"/>
      <c r="J105" s="240" t="s">
        <v>235</v>
      </c>
      <c r="K105" s="241"/>
      <c r="L105" s="49">
        <v>77080000</v>
      </c>
      <c r="M105" s="49">
        <v>12000000</v>
      </c>
      <c r="N105" s="49">
        <f>6884000+470000</f>
        <v>7354000</v>
      </c>
      <c r="O105" s="49"/>
      <c r="P105" s="49"/>
      <c r="Q105" s="49">
        <f t="shared" ref="Q105:Q110" si="47">SUM(N105:P105)</f>
        <v>7354000</v>
      </c>
      <c r="R105" s="72">
        <f>Q105/M105*100</f>
        <v>61.283333333333331</v>
      </c>
      <c r="S105" s="49">
        <f t="shared" ref="S105:S110" si="48">M105-Q105</f>
        <v>4646000</v>
      </c>
      <c r="T105" s="49">
        <v>24000000</v>
      </c>
      <c r="U105" s="49">
        <f t="shared" ref="U105:U110" si="49">T105+M105</f>
        <v>36000000</v>
      </c>
      <c r="V105" s="49">
        <f t="shared" ref="V105:V110" si="50">T105+S105</f>
        <v>28646000</v>
      </c>
      <c r="W105" s="49">
        <f>5474000</f>
        <v>5474000</v>
      </c>
      <c r="X105" s="49"/>
      <c r="Y105" s="49"/>
      <c r="Z105" s="49"/>
      <c r="AA105" s="49">
        <v>12000000</v>
      </c>
      <c r="AB105" s="49">
        <v>66480000</v>
      </c>
      <c r="AC105" s="49">
        <f t="shared" si="34"/>
        <v>-10600000</v>
      </c>
      <c r="AD105" s="49">
        <f t="shared" ref="AD105:AD110" si="51">AA105+T105+M105</f>
        <v>48000000</v>
      </c>
      <c r="AE105" s="49"/>
      <c r="AF105" s="49"/>
      <c r="AG105" s="49">
        <f>6128000+2014000+470000</f>
        <v>8612000</v>
      </c>
      <c r="AH105" s="49"/>
      <c r="AI105" s="49"/>
      <c r="AJ105" s="49">
        <f>447000+1083000</f>
        <v>1530000</v>
      </c>
      <c r="AK105" s="49">
        <f>Z105+Y105+X105+W105+N105+AG105+AJ105+AI105+AH105</f>
        <v>22970000</v>
      </c>
      <c r="AL105" s="49">
        <f>AK105/AD105*100</f>
        <v>47.854166666666664</v>
      </c>
      <c r="AM105" s="49"/>
      <c r="AN105" s="49"/>
      <c r="AO105" s="42">
        <f>7485000</f>
        <v>7485000</v>
      </c>
      <c r="AP105" s="49"/>
      <c r="AQ105" s="49">
        <f t="shared" ref="AQ105:AQ110" si="52">AK105+AM105+AN105+AO105+AP105</f>
        <v>30455000</v>
      </c>
      <c r="AR105" s="49">
        <f t="shared" ref="AR105:AR110" si="53">AQ105/AB105*100</f>
        <v>45.810770156438025</v>
      </c>
      <c r="AS105" s="49">
        <f t="shared" si="45"/>
        <v>36025000</v>
      </c>
      <c r="AT105" s="49">
        <v>3091500</v>
      </c>
      <c r="AU105" s="49">
        <f t="shared" ref="AU105:AU110" si="54">AT105+U105</f>
        <v>39091500</v>
      </c>
      <c r="AV105" s="49">
        <f t="shared" ref="AV105:AV110" si="55">AK105</f>
        <v>22970000</v>
      </c>
      <c r="AW105" s="72">
        <f t="shared" ref="AW105:AW110" si="56">AV105/AU105*100</f>
        <v>58.759576890116783</v>
      </c>
      <c r="AX105" s="49">
        <f t="shared" ref="AX105:AX110" si="57">AU105-AV105</f>
        <v>16121500</v>
      </c>
      <c r="AY105" s="49">
        <f t="shared" ref="AY105:AY110" si="58">AS105/AB105*100</f>
        <v>54.189229843561968</v>
      </c>
      <c r="AZ105" s="73">
        <f t="shared" si="44"/>
        <v>22970000</v>
      </c>
    </row>
    <row r="106" spans="1:52" ht="20.100000000000001" hidden="1" customHeight="1">
      <c r="A106" s="68"/>
      <c r="B106" s="69"/>
      <c r="C106" s="240" t="s">
        <v>250</v>
      </c>
      <c r="D106" s="240"/>
      <c r="E106" s="241"/>
      <c r="F106" s="70"/>
      <c r="G106" s="71"/>
      <c r="H106" s="71"/>
      <c r="I106" s="71"/>
      <c r="J106" s="240" t="s">
        <v>251</v>
      </c>
      <c r="K106" s="241"/>
      <c r="L106" s="49">
        <v>38400000</v>
      </c>
      <c r="M106" s="49">
        <v>19200000</v>
      </c>
      <c r="N106" s="49">
        <v>8745000</v>
      </c>
      <c r="O106" s="49"/>
      <c r="P106" s="49"/>
      <c r="Q106" s="49">
        <f t="shared" si="47"/>
        <v>8745000</v>
      </c>
      <c r="R106" s="72">
        <f>Q106/M106*100</f>
        <v>45.546875</v>
      </c>
      <c r="S106" s="49">
        <f t="shared" si="48"/>
        <v>10455000</v>
      </c>
      <c r="T106" s="49">
        <v>9600000</v>
      </c>
      <c r="U106" s="49">
        <f t="shared" si="49"/>
        <v>28800000</v>
      </c>
      <c r="V106" s="49">
        <f t="shared" si="50"/>
        <v>20055000</v>
      </c>
      <c r="W106" s="49">
        <f>1435000</f>
        <v>1435000</v>
      </c>
      <c r="X106" s="49"/>
      <c r="Y106" s="49"/>
      <c r="Z106" s="49"/>
      <c r="AA106" s="49">
        <v>9600000</v>
      </c>
      <c r="AB106" s="49">
        <v>24050000</v>
      </c>
      <c r="AC106" s="49">
        <f t="shared" si="34"/>
        <v>-14350000</v>
      </c>
      <c r="AD106" s="49">
        <f t="shared" si="51"/>
        <v>38400000</v>
      </c>
      <c r="AE106" s="49"/>
      <c r="AF106" s="49"/>
      <c r="AG106" s="49">
        <f>1300000</f>
        <v>1300000</v>
      </c>
      <c r="AH106" s="49"/>
      <c r="AI106" s="49"/>
      <c r="AJ106" s="49">
        <v>860000</v>
      </c>
      <c r="AK106" s="49">
        <f>Z106+Y106+X106+W106+N106+AG106+AJ106+AI106+AH106</f>
        <v>12340000</v>
      </c>
      <c r="AL106" s="49">
        <f>AK106/AD106*100</f>
        <v>32.135416666666664</v>
      </c>
      <c r="AM106" s="49"/>
      <c r="AN106" s="49"/>
      <c r="AO106" s="42">
        <f>4340000</f>
        <v>4340000</v>
      </c>
      <c r="AP106" s="49"/>
      <c r="AQ106" s="49">
        <f t="shared" si="52"/>
        <v>16680000</v>
      </c>
      <c r="AR106" s="49">
        <f t="shared" si="53"/>
        <v>69.355509355509355</v>
      </c>
      <c r="AS106" s="49">
        <f t="shared" si="45"/>
        <v>7370000</v>
      </c>
      <c r="AT106" s="49">
        <v>3091500</v>
      </c>
      <c r="AU106" s="49">
        <f t="shared" si="54"/>
        <v>31891500</v>
      </c>
      <c r="AV106" s="49">
        <f t="shared" si="55"/>
        <v>12340000</v>
      </c>
      <c r="AW106" s="72">
        <f t="shared" si="56"/>
        <v>38.693695812363799</v>
      </c>
      <c r="AX106" s="49">
        <f t="shared" si="57"/>
        <v>19551500</v>
      </c>
      <c r="AY106" s="49">
        <f t="shared" si="58"/>
        <v>30.644490644490645</v>
      </c>
      <c r="AZ106" s="73">
        <f t="shared" si="44"/>
        <v>12340000</v>
      </c>
    </row>
    <row r="107" spans="1:52" ht="20.100000000000001" hidden="1" customHeight="1">
      <c r="A107" s="68"/>
      <c r="B107" s="69"/>
      <c r="C107" s="240" t="s">
        <v>252</v>
      </c>
      <c r="D107" s="240"/>
      <c r="E107" s="241"/>
      <c r="F107" s="70"/>
      <c r="G107" s="71"/>
      <c r="H107" s="71"/>
      <c r="I107" s="71"/>
      <c r="J107" s="240" t="s">
        <v>237</v>
      </c>
      <c r="K107" s="241"/>
      <c r="L107" s="49">
        <v>225216000</v>
      </c>
      <c r="M107" s="49">
        <v>56304000</v>
      </c>
      <c r="N107" s="49">
        <f>21190400+3530500</f>
        <v>24720900</v>
      </c>
      <c r="O107" s="49"/>
      <c r="P107" s="49"/>
      <c r="Q107" s="49">
        <f t="shared" si="47"/>
        <v>24720900</v>
      </c>
      <c r="R107" s="72">
        <f>Q107/M107*100</f>
        <v>43.906116794543905</v>
      </c>
      <c r="S107" s="49">
        <f t="shared" si="48"/>
        <v>31583100</v>
      </c>
      <c r="T107" s="49">
        <v>56304000</v>
      </c>
      <c r="U107" s="49">
        <f t="shared" si="49"/>
        <v>112608000</v>
      </c>
      <c r="V107" s="49">
        <f t="shared" si="50"/>
        <v>87887100</v>
      </c>
      <c r="W107" s="49">
        <f>11239800+1611750+1765250+11213600</f>
        <v>25830400</v>
      </c>
      <c r="X107" s="49"/>
      <c r="Y107" s="49"/>
      <c r="Z107" s="49"/>
      <c r="AA107" s="49">
        <v>56304000</v>
      </c>
      <c r="AB107" s="49">
        <v>207672000</v>
      </c>
      <c r="AC107" s="49">
        <f t="shared" si="34"/>
        <v>-17544000</v>
      </c>
      <c r="AD107" s="49">
        <f t="shared" si="51"/>
        <v>168912000</v>
      </c>
      <c r="AE107" s="49"/>
      <c r="AF107" s="49"/>
      <c r="AG107" s="49">
        <f>15464550+2686250+10054250+1842000</f>
        <v>30047050</v>
      </c>
      <c r="AH107" s="49"/>
      <c r="AI107" s="49"/>
      <c r="AJ107" s="49">
        <f>9766050+1842000+8724600+1842000</f>
        <v>22174650</v>
      </c>
      <c r="AK107" s="49">
        <f>Z107+Y107+X107+W107+N107+AG107+AJ107+AI107+AH107</f>
        <v>102773000</v>
      </c>
      <c r="AL107" s="49">
        <f>AK107/AD107*100</f>
        <v>60.844108174670829</v>
      </c>
      <c r="AM107" s="49"/>
      <c r="AN107" s="49"/>
      <c r="AO107" s="42">
        <f>10447250+1842000</f>
        <v>12289250</v>
      </c>
      <c r="AP107" s="49"/>
      <c r="AQ107" s="49">
        <f t="shared" si="52"/>
        <v>115062250</v>
      </c>
      <c r="AR107" s="49">
        <f t="shared" si="53"/>
        <v>55.405760044685849</v>
      </c>
      <c r="AS107" s="49">
        <f t="shared" si="45"/>
        <v>92609750</v>
      </c>
      <c r="AT107" s="49">
        <v>3091500</v>
      </c>
      <c r="AU107" s="49">
        <f t="shared" si="54"/>
        <v>115699500</v>
      </c>
      <c r="AV107" s="49">
        <f t="shared" si="55"/>
        <v>102773000</v>
      </c>
      <c r="AW107" s="72">
        <f t="shared" si="56"/>
        <v>88.82752302300355</v>
      </c>
      <c r="AX107" s="49">
        <f t="shared" si="57"/>
        <v>12926500</v>
      </c>
      <c r="AY107" s="49">
        <f t="shared" si="58"/>
        <v>44.594239955314144</v>
      </c>
      <c r="AZ107" s="73">
        <f t="shared" si="44"/>
        <v>102773000</v>
      </c>
    </row>
    <row r="108" spans="1:52" ht="20.100000000000001" hidden="1" customHeight="1">
      <c r="A108" s="68"/>
      <c r="B108" s="69"/>
      <c r="C108" s="240" t="s">
        <v>253</v>
      </c>
      <c r="D108" s="240"/>
      <c r="E108" s="241"/>
      <c r="F108" s="70"/>
      <c r="G108" s="71"/>
      <c r="H108" s="71"/>
      <c r="I108" s="71"/>
      <c r="J108" s="240" t="s">
        <v>254</v>
      </c>
      <c r="K108" s="241"/>
      <c r="L108" s="49">
        <v>1600000</v>
      </c>
      <c r="M108" s="49">
        <v>400000</v>
      </c>
      <c r="N108" s="49"/>
      <c r="O108" s="49"/>
      <c r="P108" s="49"/>
      <c r="Q108" s="49">
        <f t="shared" si="47"/>
        <v>0</v>
      </c>
      <c r="R108" s="72">
        <f>Q108/M108*100</f>
        <v>0</v>
      </c>
      <c r="S108" s="49">
        <f t="shared" si="48"/>
        <v>400000</v>
      </c>
      <c r="T108" s="49">
        <v>400000</v>
      </c>
      <c r="U108" s="49">
        <f t="shared" si="49"/>
        <v>800000</v>
      </c>
      <c r="V108" s="49">
        <f t="shared" si="50"/>
        <v>800000</v>
      </c>
      <c r="W108" s="49"/>
      <c r="X108" s="49"/>
      <c r="Y108" s="49"/>
      <c r="Z108" s="49"/>
      <c r="AA108" s="49">
        <v>400000</v>
      </c>
      <c r="AB108" s="49">
        <v>1600000</v>
      </c>
      <c r="AC108" s="49">
        <f t="shared" si="34"/>
        <v>0</v>
      </c>
      <c r="AD108" s="49">
        <f t="shared" si="51"/>
        <v>1200000</v>
      </c>
      <c r="AE108" s="49"/>
      <c r="AF108" s="49"/>
      <c r="AG108" s="49"/>
      <c r="AH108" s="49"/>
      <c r="AI108" s="49"/>
      <c r="AJ108" s="49"/>
      <c r="AK108" s="49">
        <f>Z108+Y108+X108+W108+N108+AG108+AJ108+AI108+AH108</f>
        <v>0</v>
      </c>
      <c r="AL108" s="49">
        <f>AK108/AD108*100</f>
        <v>0</v>
      </c>
      <c r="AM108" s="49"/>
      <c r="AN108" s="49"/>
      <c r="AO108" s="49">
        <v>0</v>
      </c>
      <c r="AP108" s="49"/>
      <c r="AQ108" s="49">
        <f t="shared" si="52"/>
        <v>0</v>
      </c>
      <c r="AR108" s="49">
        <f t="shared" si="53"/>
        <v>0</v>
      </c>
      <c r="AS108" s="49">
        <f t="shared" si="45"/>
        <v>1600000</v>
      </c>
      <c r="AT108" s="49">
        <v>3091500</v>
      </c>
      <c r="AU108" s="49">
        <f t="shared" si="54"/>
        <v>3891500</v>
      </c>
      <c r="AV108" s="49">
        <f t="shared" si="55"/>
        <v>0</v>
      </c>
      <c r="AW108" s="72">
        <f t="shared" si="56"/>
        <v>0</v>
      </c>
      <c r="AX108" s="49">
        <f t="shared" si="57"/>
        <v>3891500</v>
      </c>
      <c r="AY108" s="49">
        <f t="shared" si="58"/>
        <v>100</v>
      </c>
      <c r="AZ108" s="73">
        <f t="shared" si="44"/>
        <v>0</v>
      </c>
    </row>
    <row r="109" spans="1:52" ht="20.100000000000001" hidden="1" customHeight="1">
      <c r="A109" s="68"/>
      <c r="B109" s="69"/>
      <c r="C109" s="240" t="s">
        <v>255</v>
      </c>
      <c r="D109" s="240"/>
      <c r="E109" s="241"/>
      <c r="F109" s="70"/>
      <c r="G109" s="71"/>
      <c r="H109" s="71"/>
      <c r="I109" s="71"/>
      <c r="J109" s="240" t="s">
        <v>256</v>
      </c>
      <c r="K109" s="241"/>
      <c r="L109" s="49">
        <v>12854000</v>
      </c>
      <c r="M109" s="49">
        <v>0</v>
      </c>
      <c r="N109" s="49"/>
      <c r="O109" s="49"/>
      <c r="P109" s="49"/>
      <c r="Q109" s="49">
        <f t="shared" si="47"/>
        <v>0</v>
      </c>
      <c r="R109" s="72"/>
      <c r="S109" s="49">
        <f t="shared" si="48"/>
        <v>0</v>
      </c>
      <c r="T109" s="49">
        <v>6427000</v>
      </c>
      <c r="U109" s="49">
        <f t="shared" si="49"/>
        <v>6427000</v>
      </c>
      <c r="V109" s="49">
        <f t="shared" si="50"/>
        <v>6427000</v>
      </c>
      <c r="W109" s="49">
        <f>438500+400250</f>
        <v>838750</v>
      </c>
      <c r="X109" s="49"/>
      <c r="Y109" s="49"/>
      <c r="Z109" s="49"/>
      <c r="AA109" s="49">
        <v>3213500</v>
      </c>
      <c r="AB109" s="49">
        <v>12854000</v>
      </c>
      <c r="AC109" s="49">
        <f t="shared" si="34"/>
        <v>0</v>
      </c>
      <c r="AD109" s="49">
        <f t="shared" si="51"/>
        <v>9640500</v>
      </c>
      <c r="AE109" s="49"/>
      <c r="AF109" s="49"/>
      <c r="AG109" s="49">
        <f>1047750+103500+115000</f>
        <v>1266250</v>
      </c>
      <c r="AH109" s="49"/>
      <c r="AI109" s="49"/>
      <c r="AJ109" s="49">
        <v>917500</v>
      </c>
      <c r="AK109" s="49">
        <f>Z109+Y109+X109+W109+N109+AG109+AJ109+AI109+AH109</f>
        <v>3022500</v>
      </c>
      <c r="AL109" s="49">
        <f>AK109/AD109*100</f>
        <v>31.352108293138318</v>
      </c>
      <c r="AM109" s="49"/>
      <c r="AN109" s="49"/>
      <c r="AO109" s="42">
        <v>113000</v>
      </c>
      <c r="AP109" s="49"/>
      <c r="AQ109" s="49">
        <f t="shared" si="52"/>
        <v>3135500</v>
      </c>
      <c r="AR109" s="49">
        <f t="shared" si="53"/>
        <v>24.393185000777969</v>
      </c>
      <c r="AS109" s="49">
        <f t="shared" si="45"/>
        <v>9718500</v>
      </c>
      <c r="AT109" s="49">
        <v>3091500</v>
      </c>
      <c r="AU109" s="49">
        <f t="shared" si="54"/>
        <v>9518500</v>
      </c>
      <c r="AV109" s="49">
        <f t="shared" si="55"/>
        <v>3022500</v>
      </c>
      <c r="AW109" s="72">
        <f t="shared" si="56"/>
        <v>31.753952828702005</v>
      </c>
      <c r="AX109" s="49">
        <f t="shared" si="57"/>
        <v>6496000</v>
      </c>
      <c r="AY109" s="49">
        <f t="shared" si="58"/>
        <v>75.606814999222024</v>
      </c>
      <c r="AZ109" s="73">
        <f t="shared" si="44"/>
        <v>3022500</v>
      </c>
    </row>
    <row r="110" spans="1:52" ht="20.100000000000001" customHeight="1">
      <c r="A110" s="62">
        <v>8</v>
      </c>
      <c r="B110" s="63"/>
      <c r="C110" s="242" t="s">
        <v>257</v>
      </c>
      <c r="D110" s="242"/>
      <c r="E110" s="243"/>
      <c r="F110" s="64"/>
      <c r="G110" s="244" t="s">
        <v>19</v>
      </c>
      <c r="H110" s="244"/>
      <c r="I110" s="244"/>
      <c r="J110" s="244"/>
      <c r="K110" s="245"/>
      <c r="L110" s="65">
        <f>SUM(L113)</f>
        <v>20000000</v>
      </c>
      <c r="M110" s="65">
        <f>SUM(M113)</f>
        <v>10000000</v>
      </c>
      <c r="N110" s="65">
        <f>SUM(N113)</f>
        <v>0</v>
      </c>
      <c r="O110" s="65">
        <f>SUM(O113)</f>
        <v>0</v>
      </c>
      <c r="P110" s="65">
        <f>SUM(P113)</f>
        <v>0</v>
      </c>
      <c r="Q110" s="65">
        <f t="shared" si="47"/>
        <v>0</v>
      </c>
      <c r="R110" s="66">
        <f>Q110/M110*100</f>
        <v>0</v>
      </c>
      <c r="S110" s="65">
        <f t="shared" si="48"/>
        <v>10000000</v>
      </c>
      <c r="T110" s="65">
        <f>SUM(T113)</f>
        <v>0</v>
      </c>
      <c r="U110" s="65">
        <f t="shared" si="49"/>
        <v>10000000</v>
      </c>
      <c r="V110" s="65">
        <f t="shared" si="50"/>
        <v>10000000</v>
      </c>
      <c r="W110" s="65">
        <f t="shared" ref="W110:AB110" si="59">SUM(W113)</f>
        <v>10000000</v>
      </c>
      <c r="X110" s="65">
        <f t="shared" si="59"/>
        <v>0</v>
      </c>
      <c r="Y110" s="65">
        <f t="shared" si="59"/>
        <v>0</v>
      </c>
      <c r="Z110" s="65">
        <f t="shared" si="59"/>
        <v>0</v>
      </c>
      <c r="AA110" s="65">
        <f t="shared" si="59"/>
        <v>10000000</v>
      </c>
      <c r="AB110" s="65">
        <f t="shared" si="59"/>
        <v>20000000</v>
      </c>
      <c r="AC110" s="65">
        <f t="shared" si="34"/>
        <v>0</v>
      </c>
      <c r="AD110" s="65">
        <f t="shared" si="51"/>
        <v>20000000</v>
      </c>
      <c r="AE110" s="65">
        <f t="shared" ref="AE110:AK110" si="60">SUM(AE113)</f>
        <v>0</v>
      </c>
      <c r="AF110" s="65">
        <f t="shared" si="60"/>
        <v>0</v>
      </c>
      <c r="AG110" s="65">
        <f t="shared" si="60"/>
        <v>10000000</v>
      </c>
      <c r="AH110" s="65">
        <f t="shared" si="60"/>
        <v>0</v>
      </c>
      <c r="AI110" s="65">
        <f t="shared" si="60"/>
        <v>0</v>
      </c>
      <c r="AJ110" s="65">
        <f t="shared" si="60"/>
        <v>0</v>
      </c>
      <c r="AK110" s="65">
        <f t="shared" si="60"/>
        <v>20000000</v>
      </c>
      <c r="AL110" s="65">
        <f>AK110/AB110*100</f>
        <v>100</v>
      </c>
      <c r="AM110" s="65">
        <f>SUM(AM113)</f>
        <v>0</v>
      </c>
      <c r="AN110" s="65">
        <f>SUM(AN113)</f>
        <v>0</v>
      </c>
      <c r="AO110" s="65">
        <f>SUM(AO113)</f>
        <v>0</v>
      </c>
      <c r="AP110" s="65">
        <f>SUM(AP113)</f>
        <v>0</v>
      </c>
      <c r="AQ110" s="65">
        <f t="shared" si="52"/>
        <v>20000000</v>
      </c>
      <c r="AR110" s="65">
        <f t="shared" si="53"/>
        <v>100</v>
      </c>
      <c r="AS110" s="65">
        <f t="shared" si="45"/>
        <v>0</v>
      </c>
      <c r="AT110" s="65">
        <f>SUM(AT113:AT119)</f>
        <v>414858000</v>
      </c>
      <c r="AU110" s="65">
        <f t="shared" si="54"/>
        <v>424858000</v>
      </c>
      <c r="AV110" s="65">
        <f t="shared" si="55"/>
        <v>20000000</v>
      </c>
      <c r="AW110" s="66">
        <f t="shared" si="56"/>
        <v>4.7074551967951646</v>
      </c>
      <c r="AX110" s="65">
        <f t="shared" si="57"/>
        <v>404858000</v>
      </c>
      <c r="AY110" s="65">
        <f t="shared" si="58"/>
        <v>0</v>
      </c>
      <c r="AZ110" s="67">
        <f t="shared" si="44"/>
        <v>20000000</v>
      </c>
    </row>
    <row r="111" spans="1:52" ht="20.100000000000001" hidden="1" customHeight="1">
      <c r="A111" s="68"/>
      <c r="B111" s="69"/>
      <c r="C111" s="240" t="s">
        <v>258</v>
      </c>
      <c r="D111" s="240"/>
      <c r="E111" s="241"/>
      <c r="F111" s="70"/>
      <c r="G111" s="71"/>
      <c r="H111" s="240" t="s">
        <v>143</v>
      </c>
      <c r="I111" s="240"/>
      <c r="J111" s="240"/>
      <c r="K111" s="241"/>
      <c r="L111" s="49"/>
      <c r="M111" s="49"/>
      <c r="N111" s="49"/>
      <c r="O111" s="49"/>
      <c r="P111" s="49"/>
      <c r="Q111" s="49"/>
      <c r="R111" s="72"/>
      <c r="S111" s="49"/>
      <c r="T111" s="49"/>
      <c r="U111" s="49"/>
      <c r="V111" s="49"/>
      <c r="W111" s="49"/>
      <c r="X111" s="49"/>
      <c r="Y111" s="49"/>
      <c r="Z111" s="49"/>
      <c r="AA111" s="49"/>
      <c r="AB111" s="49"/>
      <c r="AC111" s="49">
        <f t="shared" si="34"/>
        <v>0</v>
      </c>
      <c r="AD111" s="49"/>
      <c r="AE111" s="49"/>
      <c r="AF111" s="49"/>
      <c r="AG111" s="49"/>
      <c r="AH111" s="49"/>
      <c r="AI111" s="49"/>
      <c r="AJ111" s="49"/>
      <c r="AK111" s="49"/>
      <c r="AL111" s="49"/>
      <c r="AM111" s="49"/>
      <c r="AN111" s="49"/>
      <c r="AO111" s="49"/>
      <c r="AP111" s="49"/>
      <c r="AQ111" s="49"/>
      <c r="AR111" s="49"/>
      <c r="AS111" s="49"/>
      <c r="AT111" s="49"/>
      <c r="AU111" s="49"/>
      <c r="AV111" s="49"/>
      <c r="AW111" s="49"/>
      <c r="AX111" s="49"/>
      <c r="AY111" s="49"/>
      <c r="AZ111" s="73">
        <f t="shared" si="44"/>
        <v>0</v>
      </c>
    </row>
    <row r="112" spans="1:52" ht="20.100000000000001" hidden="1" customHeight="1">
      <c r="A112" s="68"/>
      <c r="B112" s="69"/>
      <c r="C112" s="240" t="s">
        <v>259</v>
      </c>
      <c r="D112" s="240"/>
      <c r="E112" s="241"/>
      <c r="F112" s="70"/>
      <c r="G112" s="71"/>
      <c r="H112" s="71"/>
      <c r="I112" s="240" t="s">
        <v>239</v>
      </c>
      <c r="J112" s="240"/>
      <c r="K112" s="241"/>
      <c r="L112" s="49"/>
      <c r="M112" s="49"/>
      <c r="N112" s="49"/>
      <c r="O112" s="49"/>
      <c r="P112" s="49"/>
      <c r="Q112" s="49"/>
      <c r="R112" s="72"/>
      <c r="S112" s="49"/>
      <c r="T112" s="49"/>
      <c r="U112" s="49"/>
      <c r="V112" s="49"/>
      <c r="W112" s="49"/>
      <c r="X112" s="49" t="s">
        <v>48</v>
      </c>
      <c r="Y112" s="49"/>
      <c r="Z112" s="49"/>
      <c r="AA112" s="49"/>
      <c r="AB112" s="49"/>
      <c r="AC112" s="49">
        <f t="shared" si="34"/>
        <v>0</v>
      </c>
      <c r="AD112" s="49"/>
      <c r="AE112" s="49" t="s">
        <v>48</v>
      </c>
      <c r="AF112" s="49" t="s">
        <v>48</v>
      </c>
      <c r="AG112" s="49"/>
      <c r="AH112" s="49"/>
      <c r="AI112" s="49"/>
      <c r="AJ112" s="49"/>
      <c r="AK112" s="49"/>
      <c r="AL112" s="49"/>
      <c r="AM112" s="49"/>
      <c r="AN112" s="49"/>
      <c r="AO112" s="49"/>
      <c r="AP112" s="49"/>
      <c r="AQ112" s="49"/>
      <c r="AR112" s="49"/>
      <c r="AS112" s="49"/>
      <c r="AT112" s="49"/>
      <c r="AU112" s="49"/>
      <c r="AV112" s="49"/>
      <c r="AW112" s="49"/>
      <c r="AX112" s="49"/>
      <c r="AY112" s="49"/>
      <c r="AZ112" s="73">
        <f t="shared" si="44"/>
        <v>0</v>
      </c>
    </row>
    <row r="113" spans="1:53" ht="20.100000000000001" hidden="1" customHeight="1">
      <c r="A113" s="68"/>
      <c r="B113" s="69"/>
      <c r="C113" s="240" t="s">
        <v>260</v>
      </c>
      <c r="D113" s="240"/>
      <c r="E113" s="241"/>
      <c r="F113" s="70"/>
      <c r="G113" s="71"/>
      <c r="H113" s="71"/>
      <c r="I113" s="71"/>
      <c r="J113" s="240" t="s">
        <v>261</v>
      </c>
      <c r="K113" s="241"/>
      <c r="L113" s="49">
        <v>20000000</v>
      </c>
      <c r="M113" s="49">
        <v>10000000</v>
      </c>
      <c r="N113" s="49"/>
      <c r="O113" s="49"/>
      <c r="P113" s="49"/>
      <c r="Q113" s="49">
        <f>SUM(N113:P113)</f>
        <v>0</v>
      </c>
      <c r="R113" s="72">
        <f>Q113/M113*100</f>
        <v>0</v>
      </c>
      <c r="S113" s="49">
        <f>M113-Q113</f>
        <v>10000000</v>
      </c>
      <c r="T113" s="49">
        <v>0</v>
      </c>
      <c r="U113" s="49">
        <f>T113+M113</f>
        <v>10000000</v>
      </c>
      <c r="V113" s="49">
        <f>T113+S113</f>
        <v>10000000</v>
      </c>
      <c r="W113" s="49">
        <v>10000000</v>
      </c>
      <c r="X113" s="49"/>
      <c r="Y113" s="49"/>
      <c r="Z113" s="49"/>
      <c r="AA113" s="49">
        <v>10000000</v>
      </c>
      <c r="AB113" s="49">
        <v>20000000</v>
      </c>
      <c r="AC113" s="49">
        <f t="shared" ref="AC113:AC176" si="61">AB113-L113</f>
        <v>0</v>
      </c>
      <c r="AD113" s="49">
        <f>AA113+T113+M113</f>
        <v>20000000</v>
      </c>
      <c r="AE113" s="49"/>
      <c r="AF113" s="49"/>
      <c r="AG113" s="49">
        <v>10000000</v>
      </c>
      <c r="AH113" s="49"/>
      <c r="AI113" s="49"/>
      <c r="AJ113" s="49"/>
      <c r="AK113" s="49">
        <f>Z113+Y113+X113+W113+N113+AG113+AJ113+AI113+AH113</f>
        <v>20000000</v>
      </c>
      <c r="AL113" s="49">
        <f>AK113/AD113*100</f>
        <v>100</v>
      </c>
      <c r="AM113" s="49"/>
      <c r="AN113" s="49"/>
      <c r="AO113" s="49"/>
      <c r="AP113" s="49"/>
      <c r="AQ113" s="49">
        <f>AK113+AM113+AN113+AO113+AP113</f>
        <v>20000000</v>
      </c>
      <c r="AR113" s="49">
        <f>AQ113/AB113*100</f>
        <v>100</v>
      </c>
      <c r="AS113" s="49">
        <f>AB113-AQ113</f>
        <v>0</v>
      </c>
      <c r="AT113" s="49">
        <v>3091500</v>
      </c>
      <c r="AU113" s="49">
        <f>AT113+U113</f>
        <v>13091500</v>
      </c>
      <c r="AV113" s="49">
        <f>AK113</f>
        <v>20000000</v>
      </c>
      <c r="AW113" s="72">
        <f>AV113/AU113*100</f>
        <v>152.7708818699156</v>
      </c>
      <c r="AX113" s="49">
        <f>AU113-AV113</f>
        <v>-6908500</v>
      </c>
      <c r="AY113" s="49">
        <f>AS113/AB113*100</f>
        <v>0</v>
      </c>
      <c r="AZ113" s="73">
        <f t="shared" si="44"/>
        <v>20000000</v>
      </c>
    </row>
    <row r="114" spans="1:53" ht="20.100000000000001" customHeight="1">
      <c r="A114" s="62">
        <v>9</v>
      </c>
      <c r="B114" s="63"/>
      <c r="C114" s="242" t="s">
        <v>262</v>
      </c>
      <c r="D114" s="242"/>
      <c r="E114" s="243"/>
      <c r="F114" s="64"/>
      <c r="G114" s="244" t="s">
        <v>5</v>
      </c>
      <c r="H114" s="244"/>
      <c r="I114" s="244"/>
      <c r="J114" s="244"/>
      <c r="K114" s="245"/>
      <c r="L114" s="65">
        <f>L117</f>
        <v>42000000</v>
      </c>
      <c r="M114" s="65">
        <f t="shared" ref="M114:T114" si="62">M117</f>
        <v>15750000</v>
      </c>
      <c r="N114" s="65">
        <f t="shared" si="62"/>
        <v>8497000</v>
      </c>
      <c r="O114" s="65">
        <f t="shared" si="62"/>
        <v>0</v>
      </c>
      <c r="P114" s="65">
        <f t="shared" si="62"/>
        <v>0</v>
      </c>
      <c r="Q114" s="65">
        <f>SUM(N114:P114)</f>
        <v>8497000</v>
      </c>
      <c r="R114" s="66">
        <f>Q114/M114*100</f>
        <v>53.949206349206349</v>
      </c>
      <c r="S114" s="65">
        <f>M114-Q114</f>
        <v>7253000</v>
      </c>
      <c r="T114" s="65">
        <f t="shared" si="62"/>
        <v>5250000</v>
      </c>
      <c r="U114" s="65">
        <f>T114+M114</f>
        <v>21000000</v>
      </c>
      <c r="V114" s="65">
        <f>T114+S114</f>
        <v>12503000</v>
      </c>
      <c r="W114" s="65">
        <f>W117</f>
        <v>9415000</v>
      </c>
      <c r="X114" s="65">
        <f>X117</f>
        <v>0</v>
      </c>
      <c r="Y114" s="65">
        <f>Y117</f>
        <v>0</v>
      </c>
      <c r="Z114" s="65"/>
      <c r="AA114" s="65">
        <v>21000000</v>
      </c>
      <c r="AB114" s="65">
        <f>AB117</f>
        <v>42000000</v>
      </c>
      <c r="AC114" s="65">
        <f t="shared" si="61"/>
        <v>0</v>
      </c>
      <c r="AD114" s="65">
        <f>AA114+T114+M114</f>
        <v>42000000</v>
      </c>
      <c r="AE114" s="65">
        <f t="shared" ref="AE114:AK114" si="63">AE117</f>
        <v>0</v>
      </c>
      <c r="AF114" s="65">
        <f t="shared" si="63"/>
        <v>0</v>
      </c>
      <c r="AG114" s="65">
        <f t="shared" si="63"/>
        <v>6100000</v>
      </c>
      <c r="AH114" s="65">
        <f t="shared" si="63"/>
        <v>0</v>
      </c>
      <c r="AI114" s="65">
        <f t="shared" si="63"/>
        <v>0</v>
      </c>
      <c r="AJ114" s="65">
        <f t="shared" si="63"/>
        <v>0</v>
      </c>
      <c r="AK114" s="65">
        <f t="shared" si="63"/>
        <v>24012000</v>
      </c>
      <c r="AL114" s="65">
        <f>AK114/AB114*100</f>
        <v>57.171428571428571</v>
      </c>
      <c r="AM114" s="65">
        <f>AM117</f>
        <v>0</v>
      </c>
      <c r="AN114" s="65">
        <f>AN117</f>
        <v>0</v>
      </c>
      <c r="AO114" s="42">
        <f>AO117</f>
        <v>17988000</v>
      </c>
      <c r="AP114" s="65">
        <f>AP117</f>
        <v>0</v>
      </c>
      <c r="AQ114" s="65">
        <f>AK114+AM114+AN114+AO114+AP114</f>
        <v>42000000</v>
      </c>
      <c r="AR114" s="65">
        <f>AQ114/AB114*100</f>
        <v>100</v>
      </c>
      <c r="AS114" s="65">
        <f>AB114-AQ114</f>
        <v>0</v>
      </c>
      <c r="AT114" s="65">
        <f>SUM(AT117:AT123)</f>
        <v>272450000</v>
      </c>
      <c r="AU114" s="65">
        <f>AT114+U114</f>
        <v>293450000</v>
      </c>
      <c r="AV114" s="65">
        <f>AK114</f>
        <v>24012000</v>
      </c>
      <c r="AW114" s="66">
        <f>AV114/AU114*100</f>
        <v>8.1826546260010229</v>
      </c>
      <c r="AX114" s="65">
        <f>AU114-AV114</f>
        <v>269438000</v>
      </c>
      <c r="AY114" s="65">
        <f>AS114/AB114*100</f>
        <v>0</v>
      </c>
      <c r="AZ114" s="67">
        <f>AQ114-AO114</f>
        <v>24012000</v>
      </c>
    </row>
    <row r="115" spans="1:53" ht="20.100000000000001" hidden="1" customHeight="1">
      <c r="A115" s="68"/>
      <c r="B115" s="69"/>
      <c r="C115" s="240" t="s">
        <v>263</v>
      </c>
      <c r="D115" s="240"/>
      <c r="E115" s="241"/>
      <c r="F115" s="70"/>
      <c r="G115" s="71"/>
      <c r="H115" s="240" t="s">
        <v>143</v>
      </c>
      <c r="I115" s="240"/>
      <c r="J115" s="240"/>
      <c r="K115" s="241"/>
      <c r="L115" s="49"/>
      <c r="M115" s="49"/>
      <c r="N115" s="49"/>
      <c r="O115" s="49"/>
      <c r="P115" s="49"/>
      <c r="Q115" s="49"/>
      <c r="R115" s="72"/>
      <c r="S115" s="49"/>
      <c r="T115" s="49"/>
      <c r="U115" s="49"/>
      <c r="V115" s="49"/>
      <c r="W115" s="49"/>
      <c r="X115" s="49"/>
      <c r="Y115" s="49"/>
      <c r="Z115" s="49"/>
      <c r="AA115" s="49"/>
      <c r="AB115" s="49"/>
      <c r="AC115" s="49">
        <f t="shared" si="61"/>
        <v>0</v>
      </c>
      <c r="AD115" s="49"/>
      <c r="AE115" s="49"/>
      <c r="AF115" s="49"/>
      <c r="AG115" s="49"/>
      <c r="AH115" s="49"/>
      <c r="AI115" s="49"/>
      <c r="AJ115" s="49"/>
      <c r="AK115" s="49"/>
      <c r="AL115" s="49"/>
      <c r="AM115" s="49"/>
      <c r="AN115" s="49"/>
      <c r="AO115" s="49"/>
      <c r="AP115" s="49"/>
      <c r="AQ115" s="49"/>
      <c r="AR115" s="49"/>
      <c r="AS115" s="49"/>
      <c r="AT115" s="49"/>
      <c r="AU115" s="49"/>
      <c r="AV115" s="49"/>
      <c r="AW115" s="49"/>
      <c r="AX115" s="49"/>
      <c r="AY115" s="49"/>
      <c r="AZ115" s="73">
        <f t="shared" si="44"/>
        <v>0</v>
      </c>
    </row>
    <row r="116" spans="1:53" ht="20.100000000000001" hidden="1" customHeight="1">
      <c r="A116" s="68"/>
      <c r="B116" s="69"/>
      <c r="C116" s="240" t="s">
        <v>264</v>
      </c>
      <c r="D116" s="240"/>
      <c r="E116" s="241"/>
      <c r="F116" s="70"/>
      <c r="G116" s="71"/>
      <c r="H116" s="71"/>
      <c r="I116" s="240" t="s">
        <v>239</v>
      </c>
      <c r="J116" s="240"/>
      <c r="K116" s="241"/>
      <c r="L116" s="49"/>
      <c r="M116" s="49"/>
      <c r="N116" s="49"/>
      <c r="O116" s="49"/>
      <c r="P116" s="49"/>
      <c r="Q116" s="49"/>
      <c r="R116" s="72"/>
      <c r="S116" s="49"/>
      <c r="T116" s="49"/>
      <c r="U116" s="49"/>
      <c r="V116" s="49"/>
      <c r="W116" s="49"/>
      <c r="X116" s="49"/>
      <c r="Y116" s="49"/>
      <c r="Z116" s="49"/>
      <c r="AA116" s="49"/>
      <c r="AB116" s="49"/>
      <c r="AC116" s="49">
        <f t="shared" si="61"/>
        <v>0</v>
      </c>
      <c r="AD116" s="49"/>
      <c r="AE116" s="49"/>
      <c r="AF116" s="49"/>
      <c r="AG116" s="49"/>
      <c r="AH116" s="49"/>
      <c r="AI116" s="49"/>
      <c r="AJ116" s="49"/>
      <c r="AK116" s="49"/>
      <c r="AL116" s="49"/>
      <c r="AM116" s="49"/>
      <c r="AN116" s="49"/>
      <c r="AO116" s="49"/>
      <c r="AP116" s="49"/>
      <c r="AQ116" s="49"/>
      <c r="AR116" s="49"/>
      <c r="AS116" s="49"/>
      <c r="AT116" s="49"/>
      <c r="AU116" s="49"/>
      <c r="AV116" s="49"/>
      <c r="AW116" s="49"/>
      <c r="AX116" s="49"/>
      <c r="AY116" s="49"/>
      <c r="AZ116" s="73">
        <f t="shared" si="44"/>
        <v>0</v>
      </c>
    </row>
    <row r="117" spans="1:53" ht="20.100000000000001" hidden="1" customHeight="1">
      <c r="A117" s="68"/>
      <c r="B117" s="69"/>
      <c r="C117" s="240" t="s">
        <v>265</v>
      </c>
      <c r="D117" s="240"/>
      <c r="E117" s="241"/>
      <c r="F117" s="70"/>
      <c r="G117" s="71"/>
      <c r="H117" s="71"/>
      <c r="I117" s="71"/>
      <c r="J117" s="240" t="s">
        <v>266</v>
      </c>
      <c r="K117" s="241"/>
      <c r="L117" s="49">
        <v>42000000</v>
      </c>
      <c r="M117" s="49">
        <v>15750000</v>
      </c>
      <c r="N117" s="49">
        <f>5497000+3000000</f>
        <v>8497000</v>
      </c>
      <c r="O117" s="49"/>
      <c r="P117" s="49"/>
      <c r="Q117" s="49">
        <f>SUM(N117:P117)</f>
        <v>8497000</v>
      </c>
      <c r="R117" s="72">
        <f>Q117/M117*100</f>
        <v>53.949206349206349</v>
      </c>
      <c r="S117" s="49">
        <f>M117-Q117</f>
        <v>7253000</v>
      </c>
      <c r="T117" s="49">
        <v>5250000</v>
      </c>
      <c r="U117" s="49">
        <f>T117+M117</f>
        <v>21000000</v>
      </c>
      <c r="V117" s="49">
        <f>T117+S117</f>
        <v>12503000</v>
      </c>
      <c r="W117" s="49">
        <f>7700000+1715000</f>
        <v>9415000</v>
      </c>
      <c r="X117" s="49"/>
      <c r="Y117" s="49"/>
      <c r="Z117" s="49"/>
      <c r="AA117" s="49">
        <v>21000000</v>
      </c>
      <c r="AB117" s="49">
        <v>42000000</v>
      </c>
      <c r="AC117" s="49">
        <f t="shared" si="61"/>
        <v>0</v>
      </c>
      <c r="AD117" s="49">
        <f>AA117+T117+M117</f>
        <v>42000000</v>
      </c>
      <c r="AE117" s="49"/>
      <c r="AF117" s="49"/>
      <c r="AG117" s="49">
        <f>1860000+1130000+1535000+1575000</f>
        <v>6100000</v>
      </c>
      <c r="AH117" s="49"/>
      <c r="AI117" s="49"/>
      <c r="AJ117" s="49"/>
      <c r="AK117" s="49">
        <f>Z117+Y117+X117+W117+N117+AG117+AJ117+AI117+AH117</f>
        <v>24012000</v>
      </c>
      <c r="AL117" s="49">
        <f>AK117/AD117*100</f>
        <v>57.171428571428571</v>
      </c>
      <c r="AM117" s="49"/>
      <c r="AN117" s="49"/>
      <c r="AO117" s="42">
        <f>13570000+1893000+2525000</f>
        <v>17988000</v>
      </c>
      <c r="AP117" s="49"/>
      <c r="AQ117" s="49">
        <f>AK117+AM117+AN117+AO117+AP117</f>
        <v>42000000</v>
      </c>
      <c r="AR117" s="49">
        <f>AQ117/AB117*100</f>
        <v>100</v>
      </c>
      <c r="AS117" s="49">
        <f>AB117-AQ117</f>
        <v>0</v>
      </c>
      <c r="AT117" s="49">
        <v>3091500</v>
      </c>
      <c r="AU117" s="49">
        <f>AT117+U117</f>
        <v>24091500</v>
      </c>
      <c r="AV117" s="49">
        <f>AK117</f>
        <v>24012000</v>
      </c>
      <c r="AW117" s="72">
        <f>AV117/AU117*100</f>
        <v>99.670008094141082</v>
      </c>
      <c r="AX117" s="49">
        <f>AU117-AV117</f>
        <v>79500</v>
      </c>
      <c r="AY117" s="49">
        <f>AS117/AB117*100</f>
        <v>0</v>
      </c>
      <c r="AZ117" s="73">
        <f t="shared" si="44"/>
        <v>24012000</v>
      </c>
    </row>
    <row r="118" spans="1:53" ht="20.100000000000001" customHeight="1">
      <c r="A118" s="62">
        <v>10</v>
      </c>
      <c r="B118" s="63"/>
      <c r="C118" s="242" t="s">
        <v>267</v>
      </c>
      <c r="D118" s="242"/>
      <c r="E118" s="243"/>
      <c r="F118" s="64"/>
      <c r="G118" s="244" t="s">
        <v>268</v>
      </c>
      <c r="H118" s="244"/>
      <c r="I118" s="244"/>
      <c r="J118" s="244"/>
      <c r="K118" s="245"/>
      <c r="L118" s="65">
        <f>L121</f>
        <v>200000000</v>
      </c>
      <c r="M118" s="65">
        <f>M121</f>
        <v>0</v>
      </c>
      <c r="N118" s="65">
        <f>N121</f>
        <v>0</v>
      </c>
      <c r="O118" s="65">
        <f>O121</f>
        <v>0</v>
      </c>
      <c r="P118" s="65">
        <f>P121</f>
        <v>0</v>
      </c>
      <c r="Q118" s="65">
        <f>SUM(N118:P118)</f>
        <v>0</v>
      </c>
      <c r="R118" s="66"/>
      <c r="S118" s="65">
        <f>M118-Q118</f>
        <v>0</v>
      </c>
      <c r="T118" s="65">
        <f>T121</f>
        <v>11108000</v>
      </c>
      <c r="U118" s="65">
        <f>T118+M118</f>
        <v>11108000</v>
      </c>
      <c r="V118" s="65">
        <f>T118+S118</f>
        <v>11108000</v>
      </c>
      <c r="W118" s="65">
        <f>W121</f>
        <v>0</v>
      </c>
      <c r="X118" s="65">
        <f>X121</f>
        <v>9735000</v>
      </c>
      <c r="Y118" s="65">
        <f>Y121</f>
        <v>0</v>
      </c>
      <c r="Z118" s="65"/>
      <c r="AA118" s="65">
        <f>AA121</f>
        <v>188892000</v>
      </c>
      <c r="AB118" s="65">
        <f>AB121</f>
        <v>200000000</v>
      </c>
      <c r="AC118" s="65">
        <f t="shared" si="61"/>
        <v>0</v>
      </c>
      <c r="AD118" s="65">
        <f>AA118+T118+M118</f>
        <v>200000000</v>
      </c>
      <c r="AE118" s="65">
        <f t="shared" ref="AE118:AK118" si="64">AE121</f>
        <v>0</v>
      </c>
      <c r="AF118" s="65">
        <f t="shared" si="64"/>
        <v>0</v>
      </c>
      <c r="AG118" s="65">
        <f t="shared" si="64"/>
        <v>1105000</v>
      </c>
      <c r="AH118" s="65">
        <f t="shared" si="64"/>
        <v>0</v>
      </c>
      <c r="AI118" s="65">
        <f t="shared" si="64"/>
        <v>0</v>
      </c>
      <c r="AJ118" s="65">
        <f t="shared" si="64"/>
        <v>0</v>
      </c>
      <c r="AK118" s="65">
        <f t="shared" si="64"/>
        <v>10840000</v>
      </c>
      <c r="AL118" s="65">
        <f>AK118/AB118*100</f>
        <v>5.42</v>
      </c>
      <c r="AM118" s="65">
        <f>AM121</f>
        <v>182561000</v>
      </c>
      <c r="AN118" s="65">
        <f>AN121</f>
        <v>0</v>
      </c>
      <c r="AO118" s="42">
        <f>AO121</f>
        <v>4730000</v>
      </c>
      <c r="AP118" s="65">
        <f>AP121</f>
        <v>0</v>
      </c>
      <c r="AQ118" s="65">
        <f>AK118+AM118+AN118+AO118+AP118</f>
        <v>198131000</v>
      </c>
      <c r="AR118" s="65">
        <f>AQ118/AB118*100</f>
        <v>99.0655</v>
      </c>
      <c r="AS118" s="65">
        <f>AB118-AQ118</f>
        <v>1869000</v>
      </c>
      <c r="AT118" s="65">
        <f>SUM(AT121:AT127)</f>
        <v>136225000</v>
      </c>
      <c r="AU118" s="65">
        <f>AT118+U118</f>
        <v>147333000</v>
      </c>
      <c r="AV118" s="65">
        <f>AK118</f>
        <v>10840000</v>
      </c>
      <c r="AW118" s="66">
        <f>AV118/AU118*100</f>
        <v>7.3574827092368986</v>
      </c>
      <c r="AX118" s="65">
        <f>AU118-AV118</f>
        <v>136493000</v>
      </c>
      <c r="AY118" s="65">
        <f>AS118/AB118*100</f>
        <v>0.93449999999999989</v>
      </c>
      <c r="AZ118" s="67">
        <f>AQ118-AO118-AM118</f>
        <v>10840000</v>
      </c>
      <c r="BA118" s="29">
        <f>AS118</f>
        <v>1869000</v>
      </c>
    </row>
    <row r="119" spans="1:53" ht="20.100000000000001" hidden="1" customHeight="1">
      <c r="A119" s="68"/>
      <c r="B119" s="69"/>
      <c r="C119" s="240" t="s">
        <v>269</v>
      </c>
      <c r="D119" s="240"/>
      <c r="E119" s="241"/>
      <c r="F119" s="70"/>
      <c r="G119" s="71"/>
      <c r="H119" s="240" t="s">
        <v>270</v>
      </c>
      <c r="I119" s="240"/>
      <c r="J119" s="240"/>
      <c r="K119" s="241"/>
      <c r="L119" s="49"/>
      <c r="M119" s="49"/>
      <c r="N119" s="49"/>
      <c r="O119" s="49"/>
      <c r="P119" s="49"/>
      <c r="Q119" s="49"/>
      <c r="R119" s="72"/>
      <c r="S119" s="49"/>
      <c r="T119" s="49"/>
      <c r="U119" s="49"/>
      <c r="V119" s="49"/>
      <c r="W119" s="49"/>
      <c r="X119" s="49"/>
      <c r="Y119" s="49"/>
      <c r="Z119" s="49"/>
      <c r="AA119" s="49"/>
      <c r="AB119" s="49"/>
      <c r="AC119" s="49">
        <f t="shared" si="61"/>
        <v>0</v>
      </c>
      <c r="AD119" s="49"/>
      <c r="AE119" s="49"/>
      <c r="AF119" s="49"/>
      <c r="AG119" s="49"/>
      <c r="AH119" s="49"/>
      <c r="AI119" s="49"/>
      <c r="AJ119" s="49"/>
      <c r="AK119" s="49"/>
      <c r="AL119" s="49"/>
      <c r="AM119" s="49"/>
      <c r="AN119" s="49"/>
      <c r="AO119" s="49"/>
      <c r="AP119" s="49"/>
      <c r="AQ119" s="49"/>
      <c r="AR119" s="49"/>
      <c r="AS119" s="49"/>
      <c r="AT119" s="49"/>
      <c r="AU119" s="49"/>
      <c r="AV119" s="49"/>
      <c r="AW119" s="49"/>
      <c r="AX119" s="49"/>
      <c r="AY119" s="49"/>
      <c r="AZ119" s="73">
        <f t="shared" si="44"/>
        <v>0</v>
      </c>
    </row>
    <row r="120" spans="1:53" ht="20.100000000000001" hidden="1" customHeight="1">
      <c r="A120" s="68"/>
      <c r="B120" s="69"/>
      <c r="C120" s="240" t="s">
        <v>271</v>
      </c>
      <c r="D120" s="240"/>
      <c r="E120" s="241"/>
      <c r="F120" s="70"/>
      <c r="G120" s="71"/>
      <c r="H120" s="71"/>
      <c r="I120" s="240" t="s">
        <v>272</v>
      </c>
      <c r="J120" s="240"/>
      <c r="K120" s="241"/>
      <c r="L120" s="49"/>
      <c r="M120" s="49"/>
      <c r="N120" s="49"/>
      <c r="O120" s="49"/>
      <c r="P120" s="49"/>
      <c r="Q120" s="49"/>
      <c r="R120" s="72"/>
      <c r="S120" s="49"/>
      <c r="T120" s="49"/>
      <c r="U120" s="49"/>
      <c r="V120" s="49"/>
      <c r="W120" s="49"/>
      <c r="X120" s="49"/>
      <c r="Y120" s="49"/>
      <c r="Z120" s="49"/>
      <c r="AA120" s="49"/>
      <c r="AB120" s="49"/>
      <c r="AC120" s="49">
        <f t="shared" si="61"/>
        <v>0</v>
      </c>
      <c r="AD120" s="49"/>
      <c r="AE120" s="49"/>
      <c r="AF120" s="49"/>
      <c r="AG120" s="49"/>
      <c r="AH120" s="49"/>
      <c r="AI120" s="49"/>
      <c r="AJ120" s="49"/>
      <c r="AK120" s="49"/>
      <c r="AL120" s="49"/>
      <c r="AM120" s="49"/>
      <c r="AN120" s="49"/>
      <c r="AO120" s="49"/>
      <c r="AP120" s="49"/>
      <c r="AQ120" s="49"/>
      <c r="AR120" s="49"/>
      <c r="AS120" s="49"/>
      <c r="AT120" s="49"/>
      <c r="AU120" s="49"/>
      <c r="AV120" s="49"/>
      <c r="AW120" s="49"/>
      <c r="AX120" s="49"/>
      <c r="AY120" s="49"/>
      <c r="AZ120" s="73">
        <f t="shared" si="44"/>
        <v>0</v>
      </c>
    </row>
    <row r="121" spans="1:53" ht="20.100000000000001" hidden="1" customHeight="1">
      <c r="A121" s="68"/>
      <c r="B121" s="69"/>
      <c r="C121" s="240" t="s">
        <v>273</v>
      </c>
      <c r="D121" s="240"/>
      <c r="E121" s="241"/>
      <c r="F121" s="70"/>
      <c r="G121" s="71"/>
      <c r="H121" s="71"/>
      <c r="I121" s="71"/>
      <c r="J121" s="240" t="s">
        <v>274</v>
      </c>
      <c r="K121" s="241"/>
      <c r="L121" s="49">
        <v>200000000</v>
      </c>
      <c r="M121" s="49">
        <v>0</v>
      </c>
      <c r="N121" s="49"/>
      <c r="O121" s="49"/>
      <c r="P121" s="49"/>
      <c r="Q121" s="49">
        <f>SUM(N121:P121)</f>
        <v>0</v>
      </c>
      <c r="R121" s="72"/>
      <c r="S121" s="49">
        <f>M121-Q121</f>
        <v>0</v>
      </c>
      <c r="T121" s="49">
        <v>11108000</v>
      </c>
      <c r="U121" s="49">
        <f>T121+M121</f>
        <v>11108000</v>
      </c>
      <c r="V121" s="49">
        <f>T121+S121</f>
        <v>11108000</v>
      </c>
      <c r="W121" s="49"/>
      <c r="X121" s="49">
        <v>9735000</v>
      </c>
      <c r="Y121" s="49"/>
      <c r="Z121" s="49"/>
      <c r="AA121" s="49">
        <v>188892000</v>
      </c>
      <c r="AB121" s="49">
        <v>200000000</v>
      </c>
      <c r="AC121" s="49">
        <f t="shared" si="61"/>
        <v>0</v>
      </c>
      <c r="AD121" s="49">
        <f>AA121+T121+M121</f>
        <v>200000000</v>
      </c>
      <c r="AE121" s="49">
        <v>0</v>
      </c>
      <c r="AF121" s="49">
        <v>0</v>
      </c>
      <c r="AG121" s="49">
        <f>930000+175000</f>
        <v>1105000</v>
      </c>
      <c r="AH121" s="49"/>
      <c r="AI121" s="49"/>
      <c r="AJ121" s="49"/>
      <c r="AK121" s="49">
        <f>Z121+Y121+X121+W121+N121+AG121+AJ121+AI121+AH121+AF121</f>
        <v>10840000</v>
      </c>
      <c r="AL121" s="49">
        <f>AK121/AD121*100</f>
        <v>5.42</v>
      </c>
      <c r="AM121" s="34">
        <f>175741000+6820000</f>
        <v>182561000</v>
      </c>
      <c r="AN121" s="49"/>
      <c r="AO121" s="42">
        <f>1980000+930000+680000+525000+170000+270000+175000</f>
        <v>4730000</v>
      </c>
      <c r="AP121" s="49"/>
      <c r="AQ121" s="49">
        <f>AK121+AM121+AN121+AO121+AP121</f>
        <v>198131000</v>
      </c>
      <c r="AR121" s="49">
        <f>AQ121/AB121*100</f>
        <v>99.0655</v>
      </c>
      <c r="AS121" s="49">
        <f>AB121-AQ121</f>
        <v>1869000</v>
      </c>
      <c r="AT121" s="49">
        <v>3091500</v>
      </c>
      <c r="AU121" s="49">
        <f>AT121+U121</f>
        <v>14199500</v>
      </c>
      <c r="AV121" s="49">
        <f>AK121</f>
        <v>10840000</v>
      </c>
      <c r="AW121" s="72">
        <f>AV121/AU121*100</f>
        <v>76.340716222402193</v>
      </c>
      <c r="AX121" s="49">
        <f>AU121-AV121</f>
        <v>3359500</v>
      </c>
      <c r="AY121" s="49">
        <f>AS121/AB121*100</f>
        <v>0.93449999999999989</v>
      </c>
      <c r="AZ121" s="73">
        <f t="shared" si="44"/>
        <v>193401000</v>
      </c>
    </row>
    <row r="122" spans="1:53" ht="20.100000000000001" customHeight="1">
      <c r="A122" s="60" t="s">
        <v>275</v>
      </c>
      <c r="B122" s="75"/>
      <c r="C122" s="247" t="s">
        <v>276</v>
      </c>
      <c r="D122" s="247"/>
      <c r="E122" s="248"/>
      <c r="F122" s="249" t="s">
        <v>277</v>
      </c>
      <c r="G122" s="250"/>
      <c r="H122" s="250"/>
      <c r="I122" s="250"/>
      <c r="J122" s="250"/>
      <c r="K122" s="251"/>
      <c r="L122" s="48">
        <f>L123</f>
        <v>12950000</v>
      </c>
      <c r="M122" s="48">
        <f>M123</f>
        <v>10665400</v>
      </c>
      <c r="N122" s="48">
        <f>N123</f>
        <v>6324900</v>
      </c>
      <c r="O122" s="48">
        <f>O123</f>
        <v>0</v>
      </c>
      <c r="P122" s="48">
        <f>P123</f>
        <v>0</v>
      </c>
      <c r="Q122" s="48">
        <f>SUM(N122:P122)</f>
        <v>6324900</v>
      </c>
      <c r="R122" s="61">
        <f>Q122/M122*100</f>
        <v>59.3029797288428</v>
      </c>
      <c r="S122" s="48">
        <f>M122-Q122</f>
        <v>4340500</v>
      </c>
      <c r="T122" s="48">
        <f>T123</f>
        <v>2284600</v>
      </c>
      <c r="U122" s="48">
        <f>T122+M122</f>
        <v>12950000</v>
      </c>
      <c r="V122" s="48">
        <f>T122+S122</f>
        <v>6625100</v>
      </c>
      <c r="W122" s="48">
        <f>W123</f>
        <v>2248250</v>
      </c>
      <c r="X122" s="48">
        <f>X123</f>
        <v>0</v>
      </c>
      <c r="Y122" s="48">
        <f>Y123</f>
        <v>0</v>
      </c>
      <c r="Z122" s="48"/>
      <c r="AA122" s="48">
        <f>AA123</f>
        <v>0</v>
      </c>
      <c r="AB122" s="48">
        <f>AB123</f>
        <v>12950000</v>
      </c>
      <c r="AC122" s="48">
        <f t="shared" si="61"/>
        <v>0</v>
      </c>
      <c r="AD122" s="48">
        <f>AA122+T122+M122</f>
        <v>12950000</v>
      </c>
      <c r="AE122" s="48">
        <f t="shared" ref="AE122:AK122" si="65">AE123</f>
        <v>0</v>
      </c>
      <c r="AF122" s="48">
        <f t="shared" si="65"/>
        <v>0</v>
      </c>
      <c r="AG122" s="48">
        <f t="shared" si="65"/>
        <v>3250400</v>
      </c>
      <c r="AH122" s="48">
        <f t="shared" si="65"/>
        <v>0</v>
      </c>
      <c r="AI122" s="48">
        <f t="shared" si="65"/>
        <v>0</v>
      </c>
      <c r="AJ122" s="48">
        <f t="shared" si="65"/>
        <v>0</v>
      </c>
      <c r="AK122" s="48">
        <f t="shared" si="65"/>
        <v>11823550</v>
      </c>
      <c r="AL122" s="48">
        <f>AK122/AB122*100</f>
        <v>91.301544401544405</v>
      </c>
      <c r="AM122" s="48">
        <f>AM123</f>
        <v>0</v>
      </c>
      <c r="AN122" s="48">
        <f>AN123</f>
        <v>0</v>
      </c>
      <c r="AO122" s="48">
        <f>AO123</f>
        <v>0</v>
      </c>
      <c r="AP122" s="48">
        <f>AP123</f>
        <v>0</v>
      </c>
      <c r="AQ122" s="48">
        <f>AK122+AM122+AN122+AO122+AP122</f>
        <v>11823550</v>
      </c>
      <c r="AR122" s="48">
        <f>AQ122/AB122*100</f>
        <v>91.301544401544405</v>
      </c>
      <c r="AS122" s="48">
        <f>AB122-AQ122</f>
        <v>1126450</v>
      </c>
      <c r="AT122" s="48">
        <v>120767500</v>
      </c>
      <c r="AU122" s="48">
        <f>AT122+U122</f>
        <v>133717500</v>
      </c>
      <c r="AV122" s="48">
        <f>AK122</f>
        <v>11823550</v>
      </c>
      <c r="AW122" s="61">
        <f>AV122/AU122*100</f>
        <v>8.8421859517265879</v>
      </c>
      <c r="AX122" s="48">
        <f>AU122-AV122</f>
        <v>121893950</v>
      </c>
      <c r="AY122" s="48">
        <f>AS122/AB122*100</f>
        <v>8.6984555984555989</v>
      </c>
      <c r="AZ122" s="73">
        <f t="shared" si="44"/>
        <v>11823550</v>
      </c>
    </row>
    <row r="123" spans="1:53" ht="20.100000000000001" customHeight="1">
      <c r="A123" s="62">
        <v>11</v>
      </c>
      <c r="B123" s="63"/>
      <c r="C123" s="242" t="s">
        <v>278</v>
      </c>
      <c r="D123" s="242"/>
      <c r="E123" s="243"/>
      <c r="F123" s="64"/>
      <c r="G123" s="244" t="s">
        <v>279</v>
      </c>
      <c r="H123" s="244"/>
      <c r="I123" s="244"/>
      <c r="J123" s="244"/>
      <c r="K123" s="245"/>
      <c r="L123" s="65">
        <f>SUM(L126:L135)</f>
        <v>12950000</v>
      </c>
      <c r="M123" s="65">
        <f>SUM(M126:M135)</f>
        <v>10665400</v>
      </c>
      <c r="N123" s="65">
        <f>SUM(N126:N135)</f>
        <v>6324900</v>
      </c>
      <c r="O123" s="65">
        <f>SUM(O126:O135)</f>
        <v>0</v>
      </c>
      <c r="P123" s="65">
        <f>SUM(P126:P135)</f>
        <v>0</v>
      </c>
      <c r="Q123" s="65">
        <f>SUM(N123:P123)</f>
        <v>6324900</v>
      </c>
      <c r="R123" s="66">
        <f>Q123/M123*100</f>
        <v>59.3029797288428</v>
      </c>
      <c r="S123" s="65">
        <f>M123-Q123</f>
        <v>4340500</v>
      </c>
      <c r="T123" s="65">
        <f>SUM(T126:T135)</f>
        <v>2284600</v>
      </c>
      <c r="U123" s="65">
        <f>T123+M123</f>
        <v>12950000</v>
      </c>
      <c r="V123" s="65">
        <f>T123+S123</f>
        <v>6625100</v>
      </c>
      <c r="W123" s="65">
        <f>SUM(W126:W135)</f>
        <v>2248250</v>
      </c>
      <c r="X123" s="65">
        <f>SUM(X126:X135)</f>
        <v>0</v>
      </c>
      <c r="Y123" s="65">
        <f>SUM(Y126:Y135)</f>
        <v>0</v>
      </c>
      <c r="Z123" s="65"/>
      <c r="AA123" s="65">
        <f>SUM(AA126:AA135)</f>
        <v>0</v>
      </c>
      <c r="AB123" s="65">
        <f>SUM(AB126:AB135)</f>
        <v>12950000</v>
      </c>
      <c r="AC123" s="65">
        <f t="shared" si="61"/>
        <v>0</v>
      </c>
      <c r="AD123" s="65">
        <f>AA123+T123+M123</f>
        <v>12950000</v>
      </c>
      <c r="AE123" s="65">
        <f t="shared" ref="AE123:AK123" si="66">SUM(AE126:AE135)</f>
        <v>0</v>
      </c>
      <c r="AF123" s="65">
        <f t="shared" si="66"/>
        <v>0</v>
      </c>
      <c r="AG123" s="65">
        <f t="shared" si="66"/>
        <v>3250400</v>
      </c>
      <c r="AH123" s="65">
        <f t="shared" si="66"/>
        <v>0</v>
      </c>
      <c r="AI123" s="65">
        <f t="shared" si="66"/>
        <v>0</v>
      </c>
      <c r="AJ123" s="65">
        <f t="shared" si="66"/>
        <v>0</v>
      </c>
      <c r="AK123" s="65">
        <f t="shared" si="66"/>
        <v>11823550</v>
      </c>
      <c r="AL123" s="65">
        <f>AK123/AB123*100</f>
        <v>91.301544401544405</v>
      </c>
      <c r="AM123" s="65">
        <f>SUM(AM126:AM135)</f>
        <v>0</v>
      </c>
      <c r="AN123" s="65">
        <f>SUM(AN126:AN135)</f>
        <v>0</v>
      </c>
      <c r="AO123" s="65">
        <f>SUM(AO126:AO135)</f>
        <v>0</v>
      </c>
      <c r="AP123" s="65">
        <f>SUM(AP126:AP135)</f>
        <v>0</v>
      </c>
      <c r="AQ123" s="65">
        <f>AK123+AM123+AN123+AO123+AP123</f>
        <v>11823550</v>
      </c>
      <c r="AR123" s="65">
        <f>AQ123/AB123*100</f>
        <v>91.301544401544405</v>
      </c>
      <c r="AS123" s="65">
        <f>AB123-AQ123</f>
        <v>1126450</v>
      </c>
      <c r="AT123" s="65">
        <f>SUM(AT126:AT132)</f>
        <v>9274500</v>
      </c>
      <c r="AU123" s="65">
        <f>AT123+U123</f>
        <v>22224500</v>
      </c>
      <c r="AV123" s="65">
        <f>AK123</f>
        <v>11823550</v>
      </c>
      <c r="AW123" s="66">
        <f>AV123/AU123*100</f>
        <v>53.20052194650048</v>
      </c>
      <c r="AX123" s="65">
        <f>AU123-AV123</f>
        <v>10400950</v>
      </c>
      <c r="AY123" s="65">
        <f>AS123/AB123*100</f>
        <v>8.6984555984555989</v>
      </c>
      <c r="AZ123" s="67">
        <f t="shared" si="44"/>
        <v>11823550</v>
      </c>
      <c r="BA123" s="29">
        <f>AS123</f>
        <v>1126450</v>
      </c>
    </row>
    <row r="124" spans="1:53" ht="20.100000000000001" hidden="1" customHeight="1">
      <c r="A124" s="68"/>
      <c r="B124" s="69"/>
      <c r="C124" s="240" t="s">
        <v>280</v>
      </c>
      <c r="D124" s="240"/>
      <c r="E124" s="241"/>
      <c r="F124" s="70"/>
      <c r="G124" s="71"/>
      <c r="H124" s="240" t="s">
        <v>10</v>
      </c>
      <c r="I124" s="240"/>
      <c r="J124" s="240"/>
      <c r="K124" s="241"/>
      <c r="L124" s="49"/>
      <c r="M124" s="49"/>
      <c r="N124" s="49"/>
      <c r="O124" s="49"/>
      <c r="P124" s="49"/>
      <c r="Q124" s="49"/>
      <c r="R124" s="72"/>
      <c r="S124" s="49"/>
      <c r="T124" s="49">
        <v>0</v>
      </c>
      <c r="U124" s="49"/>
      <c r="V124" s="49"/>
      <c r="W124" s="49"/>
      <c r="X124" s="49"/>
      <c r="Y124" s="49"/>
      <c r="Z124" s="49"/>
      <c r="AA124" s="49">
        <v>0</v>
      </c>
      <c r="AB124" s="49"/>
      <c r="AC124" s="49">
        <f t="shared" si="61"/>
        <v>0</v>
      </c>
      <c r="AD124" s="49"/>
      <c r="AE124" s="49"/>
      <c r="AF124" s="49"/>
      <c r="AG124" s="49"/>
      <c r="AH124" s="49"/>
      <c r="AI124" s="49"/>
      <c r="AJ124" s="49"/>
      <c r="AK124" s="49"/>
      <c r="AL124" s="49"/>
      <c r="AM124" s="49"/>
      <c r="AN124" s="49"/>
      <c r="AO124" s="49"/>
      <c r="AP124" s="49"/>
      <c r="AQ124" s="49"/>
      <c r="AR124" s="49"/>
      <c r="AS124" s="49"/>
      <c r="AT124" s="49"/>
      <c r="AU124" s="49"/>
      <c r="AV124" s="49"/>
      <c r="AW124" s="49"/>
      <c r="AX124" s="49"/>
      <c r="AY124" s="49"/>
      <c r="AZ124" s="73">
        <f t="shared" si="44"/>
        <v>0</v>
      </c>
    </row>
    <row r="125" spans="1:53" ht="20.100000000000001" hidden="1" customHeight="1">
      <c r="A125" s="68"/>
      <c r="B125" s="69"/>
      <c r="C125" s="240" t="s">
        <v>281</v>
      </c>
      <c r="D125" s="240"/>
      <c r="E125" s="241"/>
      <c r="F125" s="70"/>
      <c r="G125" s="71"/>
      <c r="H125" s="71"/>
      <c r="I125" s="240" t="s">
        <v>177</v>
      </c>
      <c r="J125" s="240"/>
      <c r="K125" s="241"/>
      <c r="L125" s="49"/>
      <c r="M125" s="49"/>
      <c r="N125" s="49"/>
      <c r="O125" s="49"/>
      <c r="P125" s="49"/>
      <c r="Q125" s="49"/>
      <c r="R125" s="72"/>
      <c r="S125" s="49"/>
      <c r="T125" s="49">
        <v>0</v>
      </c>
      <c r="U125" s="49"/>
      <c r="V125" s="49"/>
      <c r="W125" s="49"/>
      <c r="X125" s="49"/>
      <c r="Y125" s="49"/>
      <c r="Z125" s="49"/>
      <c r="AA125" s="49">
        <v>0</v>
      </c>
      <c r="AB125" s="49"/>
      <c r="AC125" s="49">
        <f t="shared" si="61"/>
        <v>0</v>
      </c>
      <c r="AD125" s="49"/>
      <c r="AE125" s="49"/>
      <c r="AF125" s="49"/>
      <c r="AG125" s="49"/>
      <c r="AH125" s="49"/>
      <c r="AI125" s="49"/>
      <c r="AJ125" s="49"/>
      <c r="AK125" s="49"/>
      <c r="AL125" s="49"/>
      <c r="AM125" s="49"/>
      <c r="AN125" s="49"/>
      <c r="AO125" s="49"/>
      <c r="AP125" s="49"/>
      <c r="AQ125" s="49"/>
      <c r="AR125" s="49"/>
      <c r="AS125" s="49"/>
      <c r="AT125" s="49"/>
      <c r="AU125" s="49"/>
      <c r="AV125" s="49"/>
      <c r="AW125" s="49"/>
      <c r="AX125" s="49"/>
      <c r="AY125" s="49"/>
      <c r="AZ125" s="73">
        <f t="shared" si="44"/>
        <v>0</v>
      </c>
    </row>
    <row r="126" spans="1:53" ht="20.100000000000001" hidden="1" customHeight="1">
      <c r="A126" s="68"/>
      <c r="B126" s="69"/>
      <c r="C126" s="240" t="s">
        <v>282</v>
      </c>
      <c r="D126" s="240"/>
      <c r="E126" s="241"/>
      <c r="F126" s="70"/>
      <c r="G126" s="71"/>
      <c r="H126" s="71"/>
      <c r="I126" s="71"/>
      <c r="J126" s="240" t="s">
        <v>283</v>
      </c>
      <c r="K126" s="241"/>
      <c r="L126" s="49">
        <v>5850000</v>
      </c>
      <c r="M126" s="49">
        <v>5850000</v>
      </c>
      <c r="N126" s="49">
        <f>2440000+1630000</f>
        <v>4070000</v>
      </c>
      <c r="O126" s="49"/>
      <c r="P126" s="49"/>
      <c r="Q126" s="49">
        <f>SUM(N126:P126)</f>
        <v>4070000</v>
      </c>
      <c r="R126" s="72">
        <f>Q126/M126*100</f>
        <v>69.572649572649567</v>
      </c>
      <c r="S126" s="49">
        <f>M126-Q126</f>
        <v>1780000</v>
      </c>
      <c r="T126" s="49">
        <v>0</v>
      </c>
      <c r="U126" s="49">
        <f>T126+M126</f>
        <v>5850000</v>
      </c>
      <c r="V126" s="49">
        <f>T126+S126</f>
        <v>1780000</v>
      </c>
      <c r="W126" s="49"/>
      <c r="X126" s="49"/>
      <c r="Y126" s="49"/>
      <c r="Z126" s="49"/>
      <c r="AA126" s="49">
        <v>0</v>
      </c>
      <c r="AB126" s="49">
        <v>5850000</v>
      </c>
      <c r="AC126" s="49">
        <f t="shared" si="61"/>
        <v>0</v>
      </c>
      <c r="AD126" s="49">
        <f>AA126+T126+M126</f>
        <v>5850000</v>
      </c>
      <c r="AE126" s="49"/>
      <c r="AF126" s="49"/>
      <c r="AG126" s="49">
        <v>890000</v>
      </c>
      <c r="AH126" s="49"/>
      <c r="AI126" s="49"/>
      <c r="AJ126" s="49"/>
      <c r="AK126" s="49">
        <f>Z126+Y126+X126+W126+N126+AG126+AJ126+AI126+AH126</f>
        <v>4960000</v>
      </c>
      <c r="AL126" s="49">
        <f>AK126/AD126*100</f>
        <v>84.786324786324784</v>
      </c>
      <c r="AM126" s="49"/>
      <c r="AN126" s="49"/>
      <c r="AO126" s="49"/>
      <c r="AP126" s="49"/>
      <c r="AQ126" s="49">
        <f>AK126+AM126+AN126+AO126+AP126</f>
        <v>4960000</v>
      </c>
      <c r="AR126" s="49">
        <f>AQ126/AB126*100</f>
        <v>84.786324786324784</v>
      </c>
      <c r="AS126" s="49">
        <f>AB126-AQ126</f>
        <v>890000</v>
      </c>
      <c r="AT126" s="49">
        <v>3091500</v>
      </c>
      <c r="AU126" s="49">
        <f>AT126+U126</f>
        <v>8941500</v>
      </c>
      <c r="AV126" s="49">
        <f>AK126</f>
        <v>4960000</v>
      </c>
      <c r="AW126" s="72">
        <f>AV126/AU126*100</f>
        <v>55.471677011687085</v>
      </c>
      <c r="AX126" s="49">
        <f>AU126-AV126</f>
        <v>3981500</v>
      </c>
      <c r="AY126" s="49">
        <f>AS126/AB126*100</f>
        <v>15.213675213675213</v>
      </c>
      <c r="AZ126" s="73">
        <f t="shared" si="44"/>
        <v>4960000</v>
      </c>
    </row>
    <row r="127" spans="1:53" ht="20.100000000000001" hidden="1" customHeight="1">
      <c r="A127" s="68"/>
      <c r="B127" s="69"/>
      <c r="C127" s="240" t="s">
        <v>284</v>
      </c>
      <c r="D127" s="240"/>
      <c r="E127" s="241"/>
      <c r="F127" s="70"/>
      <c r="G127" s="71"/>
      <c r="H127" s="240" t="s">
        <v>143</v>
      </c>
      <c r="I127" s="240"/>
      <c r="J127" s="240"/>
      <c r="K127" s="241"/>
      <c r="L127" s="49"/>
      <c r="M127" s="49"/>
      <c r="N127" s="49"/>
      <c r="O127" s="49"/>
      <c r="P127" s="49"/>
      <c r="Q127" s="49"/>
      <c r="R127" s="72"/>
      <c r="S127" s="49"/>
      <c r="T127" s="49"/>
      <c r="U127" s="49"/>
      <c r="V127" s="49"/>
      <c r="W127" s="49"/>
      <c r="X127" s="49"/>
      <c r="Y127" s="49"/>
      <c r="Z127" s="49"/>
      <c r="AA127" s="49"/>
      <c r="AB127" s="49"/>
      <c r="AC127" s="49">
        <f t="shared" si="61"/>
        <v>0</v>
      </c>
      <c r="AD127" s="49"/>
      <c r="AE127" s="49"/>
      <c r="AF127" s="49"/>
      <c r="AG127" s="49"/>
      <c r="AH127" s="49"/>
      <c r="AI127" s="49"/>
      <c r="AJ127" s="49"/>
      <c r="AK127" s="49"/>
      <c r="AL127" s="49"/>
      <c r="AM127" s="49"/>
      <c r="AN127" s="49"/>
      <c r="AO127" s="49"/>
      <c r="AP127" s="49"/>
      <c r="AQ127" s="49"/>
      <c r="AR127" s="49"/>
      <c r="AS127" s="49"/>
      <c r="AT127" s="49"/>
      <c r="AU127" s="49"/>
      <c r="AV127" s="49"/>
      <c r="AW127" s="49"/>
      <c r="AX127" s="49"/>
      <c r="AY127" s="49"/>
      <c r="AZ127" s="73">
        <f t="shared" si="44"/>
        <v>0</v>
      </c>
    </row>
    <row r="128" spans="1:53" ht="20.100000000000001" hidden="1" customHeight="1">
      <c r="A128" s="68"/>
      <c r="B128" s="69"/>
      <c r="C128" s="240" t="s">
        <v>285</v>
      </c>
      <c r="D128" s="240"/>
      <c r="E128" s="241"/>
      <c r="F128" s="70"/>
      <c r="G128" s="71"/>
      <c r="H128" s="71"/>
      <c r="I128" s="240" t="s">
        <v>145</v>
      </c>
      <c r="J128" s="240"/>
      <c r="K128" s="241"/>
      <c r="L128" s="49"/>
      <c r="M128" s="49"/>
      <c r="N128" s="49"/>
      <c r="O128" s="49"/>
      <c r="P128" s="49"/>
      <c r="Q128" s="49"/>
      <c r="R128" s="72"/>
      <c r="S128" s="49"/>
      <c r="T128" s="49">
        <v>0</v>
      </c>
      <c r="U128" s="49"/>
      <c r="V128" s="49"/>
      <c r="W128" s="49"/>
      <c r="X128" s="49"/>
      <c r="Y128" s="49"/>
      <c r="Z128" s="49"/>
      <c r="AA128" s="49"/>
      <c r="AB128" s="49"/>
      <c r="AC128" s="49">
        <f t="shared" si="61"/>
        <v>0</v>
      </c>
      <c r="AD128" s="49"/>
      <c r="AE128" s="49"/>
      <c r="AF128" s="49"/>
      <c r="AG128" s="49"/>
      <c r="AH128" s="49"/>
      <c r="AI128" s="49"/>
      <c r="AJ128" s="49"/>
      <c r="AK128" s="49"/>
      <c r="AL128" s="49"/>
      <c r="AM128" s="49"/>
      <c r="AN128" s="49"/>
      <c r="AO128" s="49"/>
      <c r="AP128" s="49"/>
      <c r="AQ128" s="49"/>
      <c r="AR128" s="49"/>
      <c r="AS128" s="49"/>
      <c r="AT128" s="49"/>
      <c r="AU128" s="49"/>
      <c r="AV128" s="49"/>
      <c r="AW128" s="49"/>
      <c r="AX128" s="49"/>
      <c r="AY128" s="49"/>
      <c r="AZ128" s="73">
        <f t="shared" si="44"/>
        <v>0</v>
      </c>
    </row>
    <row r="129" spans="1:52" ht="20.100000000000001" hidden="1" customHeight="1">
      <c r="A129" s="68"/>
      <c r="B129" s="69"/>
      <c r="C129" s="240" t="s">
        <v>286</v>
      </c>
      <c r="D129" s="240"/>
      <c r="E129" s="241"/>
      <c r="F129" s="70"/>
      <c r="G129" s="71"/>
      <c r="H129" s="71"/>
      <c r="I129" s="71"/>
      <c r="J129" s="240" t="s">
        <v>147</v>
      </c>
      <c r="K129" s="241"/>
      <c r="L129" s="49">
        <v>855800</v>
      </c>
      <c r="M129" s="49">
        <v>855800</v>
      </c>
      <c r="N129" s="49">
        <v>854900</v>
      </c>
      <c r="O129" s="49"/>
      <c r="P129" s="49"/>
      <c r="Q129" s="49">
        <f>SUM(N129:P129)</f>
        <v>854900</v>
      </c>
      <c r="R129" s="72">
        <f>Q129/M129*100</f>
        <v>99.894835241878937</v>
      </c>
      <c r="S129" s="49">
        <f>M129-Q129</f>
        <v>900</v>
      </c>
      <c r="T129" s="49">
        <v>0</v>
      </c>
      <c r="U129" s="49">
        <f>T129+M129</f>
        <v>855800</v>
      </c>
      <c r="V129" s="49">
        <f>T129+S129</f>
        <v>900</v>
      </c>
      <c r="W129" s="49"/>
      <c r="X129" s="49"/>
      <c r="Y129" s="49"/>
      <c r="Z129" s="49"/>
      <c r="AA129" s="49">
        <v>0</v>
      </c>
      <c r="AB129" s="49">
        <v>855800</v>
      </c>
      <c r="AC129" s="49">
        <f t="shared" si="61"/>
        <v>0</v>
      </c>
      <c r="AD129" s="49">
        <f>AA129+T129+M129</f>
        <v>855800</v>
      </c>
      <c r="AE129" s="49"/>
      <c r="AF129" s="49"/>
      <c r="AG129" s="49"/>
      <c r="AH129" s="49"/>
      <c r="AI129" s="49"/>
      <c r="AJ129" s="49"/>
      <c r="AK129" s="49">
        <f>Z129+Y129+X129+W129+N129+AG129+AJ129+AI129+AH129</f>
        <v>854900</v>
      </c>
      <c r="AL129" s="49">
        <f>AK129/AD129*100</f>
        <v>99.894835241878937</v>
      </c>
      <c r="AM129" s="49"/>
      <c r="AN129" s="49"/>
      <c r="AO129" s="49"/>
      <c r="AP129" s="49"/>
      <c r="AQ129" s="49">
        <f>AK129+AM129+AN129+AO129+AP129</f>
        <v>854900</v>
      </c>
      <c r="AR129" s="49">
        <f>AQ129/AB129*100</f>
        <v>99.894835241878937</v>
      </c>
      <c r="AS129" s="49">
        <f>AB129-AQ129</f>
        <v>900</v>
      </c>
      <c r="AT129" s="49">
        <v>3091500</v>
      </c>
      <c r="AU129" s="49">
        <f>AT129+U129</f>
        <v>3947300</v>
      </c>
      <c r="AV129" s="49">
        <f>AK129</f>
        <v>854900</v>
      </c>
      <c r="AW129" s="72">
        <f>AV129/AU129*100</f>
        <v>21.657842069262536</v>
      </c>
      <c r="AX129" s="49">
        <f>AU129-AV129</f>
        <v>3092400</v>
      </c>
      <c r="AY129" s="49">
        <f>AS129/AB129*100</f>
        <v>0.10516475812105631</v>
      </c>
      <c r="AZ129" s="73">
        <f t="shared" si="44"/>
        <v>854900</v>
      </c>
    </row>
    <row r="130" spans="1:52" ht="20.100000000000001" hidden="1" customHeight="1">
      <c r="A130" s="68"/>
      <c r="B130" s="69"/>
      <c r="C130" s="240" t="s">
        <v>287</v>
      </c>
      <c r="D130" s="240"/>
      <c r="E130" s="241"/>
      <c r="F130" s="70"/>
      <c r="G130" s="71"/>
      <c r="H130" s="71"/>
      <c r="I130" s="240" t="s">
        <v>151</v>
      </c>
      <c r="J130" s="240"/>
      <c r="K130" s="241"/>
      <c r="L130" s="49"/>
      <c r="M130" s="49"/>
      <c r="N130" s="49"/>
      <c r="O130" s="49"/>
      <c r="P130" s="49"/>
      <c r="Q130" s="49"/>
      <c r="R130" s="72"/>
      <c r="S130" s="49"/>
      <c r="T130" s="49">
        <v>0</v>
      </c>
      <c r="U130" s="49"/>
      <c r="V130" s="49"/>
      <c r="W130" s="49"/>
      <c r="X130" s="49"/>
      <c r="Y130" s="49"/>
      <c r="Z130" s="49"/>
      <c r="AA130" s="49"/>
      <c r="AB130" s="49"/>
      <c r="AC130" s="49">
        <f t="shared" si="61"/>
        <v>0</v>
      </c>
      <c r="AD130" s="49"/>
      <c r="AE130" s="49"/>
      <c r="AF130" s="49"/>
      <c r="AG130" s="49"/>
      <c r="AH130" s="49"/>
      <c r="AI130" s="49"/>
      <c r="AJ130" s="49"/>
      <c r="AK130" s="49"/>
      <c r="AL130" s="49"/>
      <c r="AM130" s="49"/>
      <c r="AN130" s="49"/>
      <c r="AO130" s="49"/>
      <c r="AP130" s="49"/>
      <c r="AQ130" s="49"/>
      <c r="AR130" s="49"/>
      <c r="AS130" s="49"/>
      <c r="AT130" s="49"/>
      <c r="AU130" s="49"/>
      <c r="AV130" s="49"/>
      <c r="AW130" s="49"/>
      <c r="AX130" s="49"/>
      <c r="AY130" s="49"/>
      <c r="AZ130" s="73">
        <f t="shared" si="44"/>
        <v>0</v>
      </c>
    </row>
    <row r="131" spans="1:52" ht="20.100000000000001" hidden="1" customHeight="1">
      <c r="A131" s="68"/>
      <c r="B131" s="69"/>
      <c r="C131" s="240" t="s">
        <v>288</v>
      </c>
      <c r="D131" s="240"/>
      <c r="E131" s="241"/>
      <c r="F131" s="70"/>
      <c r="G131" s="71"/>
      <c r="H131" s="71"/>
      <c r="I131" s="71"/>
      <c r="J131" s="240" t="s">
        <v>155</v>
      </c>
      <c r="K131" s="241"/>
      <c r="L131" s="49">
        <v>437500</v>
      </c>
      <c r="M131" s="49">
        <v>437500</v>
      </c>
      <c r="N131" s="49">
        <v>437500</v>
      </c>
      <c r="O131" s="49"/>
      <c r="P131" s="49"/>
      <c r="Q131" s="49">
        <f>SUM(N131:P131)</f>
        <v>437500</v>
      </c>
      <c r="R131" s="72">
        <f>Q131/M131*100</f>
        <v>100</v>
      </c>
      <c r="S131" s="49">
        <f>M131-Q131</f>
        <v>0</v>
      </c>
      <c r="T131" s="49">
        <v>0</v>
      </c>
      <c r="U131" s="49">
        <f>T131+M131</f>
        <v>437500</v>
      </c>
      <c r="V131" s="49">
        <f>T131+S131</f>
        <v>0</v>
      </c>
      <c r="W131" s="49"/>
      <c r="X131" s="49"/>
      <c r="Y131" s="49"/>
      <c r="Z131" s="49"/>
      <c r="AA131" s="49">
        <v>0</v>
      </c>
      <c r="AB131" s="49">
        <v>437500</v>
      </c>
      <c r="AC131" s="49">
        <f t="shared" si="61"/>
        <v>0</v>
      </c>
      <c r="AD131" s="49">
        <f>AA131+T131+M131</f>
        <v>437500</v>
      </c>
      <c r="AE131" s="49"/>
      <c r="AF131" s="49"/>
      <c r="AG131" s="49"/>
      <c r="AH131" s="49"/>
      <c r="AI131" s="49"/>
      <c r="AJ131" s="49"/>
      <c r="AK131" s="49">
        <f>Z131+Y131+X131+W131+N131+AG131+AJ131+AI131+AH131</f>
        <v>437500</v>
      </c>
      <c r="AL131" s="49">
        <f>AK131/AD131*100</f>
        <v>100</v>
      </c>
      <c r="AM131" s="49"/>
      <c r="AN131" s="49"/>
      <c r="AO131" s="49"/>
      <c r="AP131" s="49"/>
      <c r="AQ131" s="49">
        <f>AK131+AM131+AN131+AO131+AP131</f>
        <v>437500</v>
      </c>
      <c r="AR131" s="49">
        <f>AQ131/AB131*100</f>
        <v>100</v>
      </c>
      <c r="AS131" s="49">
        <f>AB131-AQ131</f>
        <v>0</v>
      </c>
      <c r="AT131" s="49">
        <v>3091500</v>
      </c>
      <c r="AU131" s="49">
        <f>AT131+U131</f>
        <v>3529000</v>
      </c>
      <c r="AV131" s="49">
        <f>AK131</f>
        <v>437500</v>
      </c>
      <c r="AW131" s="72">
        <f>AV131/AU131*100</f>
        <v>12.397279682629641</v>
      </c>
      <c r="AX131" s="49">
        <f>AU131-AV131</f>
        <v>3091500</v>
      </c>
      <c r="AY131" s="49">
        <f>AS131/AB131*100</f>
        <v>0</v>
      </c>
      <c r="AZ131" s="73">
        <f t="shared" si="44"/>
        <v>437500</v>
      </c>
    </row>
    <row r="132" spans="1:52" ht="20.100000000000001" hidden="1" customHeight="1">
      <c r="A132" s="68"/>
      <c r="B132" s="69"/>
      <c r="C132" s="240" t="s">
        <v>289</v>
      </c>
      <c r="D132" s="240"/>
      <c r="E132" s="241"/>
      <c r="F132" s="70"/>
      <c r="G132" s="71"/>
      <c r="H132" s="71"/>
      <c r="I132" s="240" t="s">
        <v>193</v>
      </c>
      <c r="J132" s="240"/>
      <c r="K132" s="241"/>
      <c r="L132" s="49"/>
      <c r="M132" s="49"/>
      <c r="N132" s="49"/>
      <c r="O132" s="49"/>
      <c r="P132" s="49"/>
      <c r="Q132" s="49"/>
      <c r="R132" s="72"/>
      <c r="S132" s="49"/>
      <c r="T132" s="49">
        <v>0</v>
      </c>
      <c r="U132" s="49"/>
      <c r="V132" s="49"/>
      <c r="W132" s="49"/>
      <c r="X132" s="49"/>
      <c r="Y132" s="49"/>
      <c r="Z132" s="49"/>
      <c r="AA132" s="49">
        <v>0</v>
      </c>
      <c r="AB132" s="49"/>
      <c r="AC132" s="49">
        <f t="shared" si="61"/>
        <v>0</v>
      </c>
      <c r="AD132" s="49"/>
      <c r="AE132" s="49"/>
      <c r="AF132" s="49"/>
      <c r="AG132" s="49"/>
      <c r="AH132" s="49"/>
      <c r="AI132" s="49"/>
      <c r="AJ132" s="49"/>
      <c r="AK132" s="49"/>
      <c r="AL132" s="49"/>
      <c r="AM132" s="49"/>
      <c r="AN132" s="49"/>
      <c r="AO132" s="49"/>
      <c r="AP132" s="49"/>
      <c r="AQ132" s="49"/>
      <c r="AR132" s="49"/>
      <c r="AS132" s="49"/>
      <c r="AT132" s="49"/>
      <c r="AU132" s="49"/>
      <c r="AV132" s="49"/>
      <c r="AW132" s="49"/>
      <c r="AX132" s="49"/>
      <c r="AY132" s="49"/>
      <c r="AZ132" s="73">
        <f t="shared" si="44"/>
        <v>0</v>
      </c>
    </row>
    <row r="133" spans="1:52" ht="20.100000000000001" hidden="1" customHeight="1">
      <c r="A133" s="68"/>
      <c r="B133" s="69"/>
      <c r="C133" s="240" t="s">
        <v>290</v>
      </c>
      <c r="D133" s="240"/>
      <c r="E133" s="241"/>
      <c r="F133" s="70"/>
      <c r="G133" s="71"/>
      <c r="H133" s="71"/>
      <c r="I133" s="71"/>
      <c r="J133" s="240" t="s">
        <v>195</v>
      </c>
      <c r="K133" s="241"/>
      <c r="L133" s="49">
        <v>1237500</v>
      </c>
      <c r="M133" s="49">
        <v>1237500</v>
      </c>
      <c r="N133" s="49">
        <f>550000+412500</f>
        <v>962500</v>
      </c>
      <c r="O133" s="49"/>
      <c r="P133" s="49"/>
      <c r="Q133" s="49">
        <f>SUM(N133:P133)</f>
        <v>962500</v>
      </c>
      <c r="R133" s="72">
        <f>Q133/M133*100</f>
        <v>77.777777777777786</v>
      </c>
      <c r="S133" s="49">
        <f>M133-Q133</f>
        <v>275000</v>
      </c>
      <c r="T133" s="49">
        <v>0</v>
      </c>
      <c r="U133" s="49">
        <f>T133+M133</f>
        <v>1237500</v>
      </c>
      <c r="V133" s="49">
        <f>T133+S133</f>
        <v>275000</v>
      </c>
      <c r="W133" s="49"/>
      <c r="X133" s="49"/>
      <c r="Y133" s="49"/>
      <c r="Z133" s="49"/>
      <c r="AA133" s="49">
        <v>0</v>
      </c>
      <c r="AB133" s="49">
        <v>1237500</v>
      </c>
      <c r="AC133" s="49">
        <f t="shared" si="61"/>
        <v>0</v>
      </c>
      <c r="AD133" s="49">
        <f>AA133+T133+M133</f>
        <v>1237500</v>
      </c>
      <c r="AE133" s="49"/>
      <c r="AF133" s="49"/>
      <c r="AG133" s="49">
        <v>187500</v>
      </c>
      <c r="AH133" s="49"/>
      <c r="AI133" s="49"/>
      <c r="AJ133" s="49"/>
      <c r="AK133" s="49">
        <f>Z133+Y133+X133+W133+N133+AG133+AJ133+AI133+AH133</f>
        <v>1150000</v>
      </c>
      <c r="AL133" s="49">
        <f>AK133/AD133*100</f>
        <v>92.929292929292927</v>
      </c>
      <c r="AM133" s="49"/>
      <c r="AN133" s="49"/>
      <c r="AO133" s="49"/>
      <c r="AP133" s="49"/>
      <c r="AQ133" s="49">
        <f>AK133+AM133+AN133+AO133+AP133</f>
        <v>1150000</v>
      </c>
      <c r="AR133" s="49">
        <f>AQ133/AB133*100</f>
        <v>92.929292929292927</v>
      </c>
      <c r="AS133" s="49">
        <f>AB133-AQ133</f>
        <v>87500</v>
      </c>
      <c r="AT133" s="49">
        <v>3091500</v>
      </c>
      <c r="AU133" s="49">
        <f>AT133+U133</f>
        <v>4329000</v>
      </c>
      <c r="AV133" s="49">
        <f>AK133</f>
        <v>1150000</v>
      </c>
      <c r="AW133" s="72">
        <f>AV133/AU133*100</f>
        <v>26.565026565026567</v>
      </c>
      <c r="AX133" s="49">
        <f>AU133-AV133</f>
        <v>3179000</v>
      </c>
      <c r="AY133" s="49">
        <f>AS133/AB133*100</f>
        <v>7.0707070707070701</v>
      </c>
      <c r="AZ133" s="73">
        <f t="shared" si="44"/>
        <v>1150000</v>
      </c>
    </row>
    <row r="134" spans="1:52" ht="20.100000000000001" hidden="1" customHeight="1">
      <c r="A134" s="68"/>
      <c r="B134" s="69"/>
      <c r="C134" s="240" t="s">
        <v>291</v>
      </c>
      <c r="D134" s="240"/>
      <c r="E134" s="241"/>
      <c r="F134" s="70"/>
      <c r="G134" s="71"/>
      <c r="H134" s="71"/>
      <c r="I134" s="240" t="s">
        <v>157</v>
      </c>
      <c r="J134" s="240"/>
      <c r="K134" s="241"/>
      <c r="L134" s="49"/>
      <c r="M134" s="49"/>
      <c r="N134" s="49"/>
      <c r="O134" s="49"/>
      <c r="P134" s="49"/>
      <c r="Q134" s="49"/>
      <c r="R134" s="72"/>
      <c r="S134" s="49"/>
      <c r="T134" s="49"/>
      <c r="U134" s="49"/>
      <c r="V134" s="49"/>
      <c r="W134" s="49"/>
      <c r="X134" s="49"/>
      <c r="Y134" s="49"/>
      <c r="Z134" s="49"/>
      <c r="AA134" s="49"/>
      <c r="AB134" s="49"/>
      <c r="AC134" s="49">
        <f t="shared" si="61"/>
        <v>0</v>
      </c>
      <c r="AD134" s="49"/>
      <c r="AE134" s="49"/>
      <c r="AF134" s="49"/>
      <c r="AG134" s="49"/>
      <c r="AH134" s="49"/>
      <c r="AI134" s="49"/>
      <c r="AJ134" s="49"/>
      <c r="AK134" s="49"/>
      <c r="AL134" s="49"/>
      <c r="AM134" s="49"/>
      <c r="AN134" s="49"/>
      <c r="AO134" s="49"/>
      <c r="AP134" s="49"/>
      <c r="AQ134" s="49"/>
      <c r="AR134" s="49"/>
      <c r="AS134" s="49"/>
      <c r="AT134" s="49"/>
      <c r="AU134" s="49"/>
      <c r="AV134" s="49"/>
      <c r="AW134" s="49"/>
      <c r="AX134" s="49"/>
      <c r="AY134" s="49"/>
      <c r="AZ134" s="73">
        <f t="shared" si="44"/>
        <v>0</v>
      </c>
    </row>
    <row r="135" spans="1:52" ht="20.100000000000001" hidden="1" customHeight="1">
      <c r="A135" s="68"/>
      <c r="B135" s="69"/>
      <c r="C135" s="240" t="s">
        <v>292</v>
      </c>
      <c r="D135" s="240"/>
      <c r="E135" s="241"/>
      <c r="F135" s="70"/>
      <c r="G135" s="71"/>
      <c r="H135" s="71"/>
      <c r="I135" s="71"/>
      <c r="J135" s="240" t="s">
        <v>207</v>
      </c>
      <c r="K135" s="241"/>
      <c r="L135" s="49">
        <v>4569200</v>
      </c>
      <c r="M135" s="49">
        <v>2284600</v>
      </c>
      <c r="N135" s="49"/>
      <c r="O135" s="49"/>
      <c r="P135" s="49"/>
      <c r="Q135" s="49">
        <f>SUM(N135:P135)</f>
        <v>0</v>
      </c>
      <c r="R135" s="72">
        <f>Q135/M135*100</f>
        <v>0</v>
      </c>
      <c r="S135" s="49">
        <f>M135-Q135</f>
        <v>2284600</v>
      </c>
      <c r="T135" s="49">
        <v>2284600</v>
      </c>
      <c r="U135" s="49">
        <f>T135+M135</f>
        <v>4569200</v>
      </c>
      <c r="V135" s="49">
        <f>T135+S135</f>
        <v>4569200</v>
      </c>
      <c r="W135" s="49">
        <v>2248250</v>
      </c>
      <c r="X135" s="49"/>
      <c r="Y135" s="49"/>
      <c r="Z135" s="49"/>
      <c r="AA135" s="49">
        <v>0</v>
      </c>
      <c r="AB135" s="49">
        <v>4569200</v>
      </c>
      <c r="AC135" s="49">
        <f t="shared" si="61"/>
        <v>0</v>
      </c>
      <c r="AD135" s="49">
        <f>AA135+T135+M135</f>
        <v>4569200</v>
      </c>
      <c r="AE135" s="49"/>
      <c r="AF135" s="49"/>
      <c r="AG135" s="49">
        <v>2172900</v>
      </c>
      <c r="AH135" s="49"/>
      <c r="AI135" s="49"/>
      <c r="AJ135" s="49"/>
      <c r="AK135" s="49">
        <f>Z135+Y135+X135+W135+N135+AG135+AJ135+AI135+AH135</f>
        <v>4421150</v>
      </c>
      <c r="AL135" s="49">
        <f>AK135/AD135*100</f>
        <v>96.759826665499432</v>
      </c>
      <c r="AM135" s="49"/>
      <c r="AN135" s="49"/>
      <c r="AO135" s="49"/>
      <c r="AP135" s="49"/>
      <c r="AQ135" s="49">
        <f>AK135+AM135+AN135+AO135+AP135</f>
        <v>4421150</v>
      </c>
      <c r="AR135" s="49">
        <f>AQ135/AB135*100</f>
        <v>96.759826665499432</v>
      </c>
      <c r="AS135" s="49">
        <f>AB135-AQ135</f>
        <v>148050</v>
      </c>
      <c r="AT135" s="49">
        <v>3091500</v>
      </c>
      <c r="AU135" s="49">
        <f>AT135+U135</f>
        <v>7660700</v>
      </c>
      <c r="AV135" s="49">
        <f>AK135</f>
        <v>4421150</v>
      </c>
      <c r="AW135" s="72">
        <f>AV135/AU135*100</f>
        <v>57.712088973592493</v>
      </c>
      <c r="AX135" s="49">
        <f>AU135-AV135</f>
        <v>3239550</v>
      </c>
      <c r="AY135" s="49">
        <f>AS135/AB135*100</f>
        <v>3.2401733345005694</v>
      </c>
      <c r="AZ135" s="73">
        <f t="shared" si="44"/>
        <v>4421150</v>
      </c>
    </row>
    <row r="136" spans="1:52" ht="20.100000000000001" customHeight="1">
      <c r="A136" s="60" t="s">
        <v>293</v>
      </c>
      <c r="B136" s="75"/>
      <c r="C136" s="247" t="s">
        <v>294</v>
      </c>
      <c r="D136" s="247"/>
      <c r="E136" s="248"/>
      <c r="F136" s="249" t="s">
        <v>295</v>
      </c>
      <c r="G136" s="250"/>
      <c r="H136" s="250"/>
      <c r="I136" s="250"/>
      <c r="J136" s="250"/>
      <c r="K136" s="251"/>
      <c r="L136" s="48">
        <f>L137</f>
        <v>24000000</v>
      </c>
      <c r="M136" s="48">
        <f t="shared" ref="M136:AK136" si="67">M137</f>
        <v>5004500</v>
      </c>
      <c r="N136" s="48">
        <f t="shared" si="67"/>
        <v>3215000</v>
      </c>
      <c r="O136" s="48">
        <f t="shared" si="67"/>
        <v>0</v>
      </c>
      <c r="P136" s="48">
        <f t="shared" si="67"/>
        <v>0</v>
      </c>
      <c r="Q136" s="48">
        <f>SUM(N136:P136)</f>
        <v>3215000</v>
      </c>
      <c r="R136" s="61">
        <f>Q136/M136*100</f>
        <v>64.242182036167449</v>
      </c>
      <c r="S136" s="48">
        <f>M136-Q136</f>
        <v>1789500</v>
      </c>
      <c r="T136" s="48">
        <f t="shared" si="67"/>
        <v>7572500</v>
      </c>
      <c r="U136" s="48">
        <f>T136+M136</f>
        <v>12577000</v>
      </c>
      <c r="V136" s="48">
        <f>T136+S136</f>
        <v>9362000</v>
      </c>
      <c r="W136" s="48">
        <f t="shared" si="67"/>
        <v>4209950</v>
      </c>
      <c r="X136" s="48">
        <f t="shared" si="67"/>
        <v>0</v>
      </c>
      <c r="Y136" s="48">
        <f t="shared" si="67"/>
        <v>0</v>
      </c>
      <c r="Z136" s="48"/>
      <c r="AA136" s="48">
        <v>6717500</v>
      </c>
      <c r="AB136" s="48">
        <f>AB137</f>
        <v>24000000</v>
      </c>
      <c r="AC136" s="48">
        <f t="shared" si="61"/>
        <v>0</v>
      </c>
      <c r="AD136" s="48">
        <f>AA136+T136+M136</f>
        <v>19294500</v>
      </c>
      <c r="AE136" s="48">
        <f t="shared" si="67"/>
        <v>0</v>
      </c>
      <c r="AF136" s="48">
        <f t="shared" si="67"/>
        <v>0</v>
      </c>
      <c r="AG136" s="48">
        <f t="shared" si="67"/>
        <v>6218575</v>
      </c>
      <c r="AH136" s="48">
        <f t="shared" si="67"/>
        <v>0</v>
      </c>
      <c r="AI136" s="48">
        <f t="shared" si="67"/>
        <v>0</v>
      </c>
      <c r="AJ136" s="48">
        <f t="shared" si="67"/>
        <v>2450000</v>
      </c>
      <c r="AK136" s="48">
        <f t="shared" si="67"/>
        <v>16093525</v>
      </c>
      <c r="AL136" s="48">
        <f>AK136/AB136*100</f>
        <v>67.056354166666665</v>
      </c>
      <c r="AM136" s="48">
        <f>AM137</f>
        <v>0</v>
      </c>
      <c r="AN136" s="48">
        <f>AN137</f>
        <v>0</v>
      </c>
      <c r="AO136" s="48">
        <f>AO137</f>
        <v>1350000</v>
      </c>
      <c r="AP136" s="48">
        <f>AP137</f>
        <v>0</v>
      </c>
      <c r="AQ136" s="48">
        <f>AK136+AM136+AN136+AO136+AP136</f>
        <v>17443525</v>
      </c>
      <c r="AR136" s="48">
        <f>AQ136/AB136*100</f>
        <v>72.681354166666665</v>
      </c>
      <c r="AS136" s="48">
        <f>AB136-AQ136</f>
        <v>6556475</v>
      </c>
      <c r="AT136" s="48">
        <v>120767500</v>
      </c>
      <c r="AU136" s="48">
        <f>AT136+U136</f>
        <v>133344500</v>
      </c>
      <c r="AV136" s="48">
        <f>AK136</f>
        <v>16093525</v>
      </c>
      <c r="AW136" s="61">
        <f>AV136/AU136*100</f>
        <v>12.06913296011459</v>
      </c>
      <c r="AX136" s="48">
        <f>AU136-AV136</f>
        <v>117250975</v>
      </c>
      <c r="AY136" s="48">
        <f>AS136/AB136*100</f>
        <v>27.318645833333331</v>
      </c>
      <c r="AZ136" s="73">
        <f t="shared" si="44"/>
        <v>16093525</v>
      </c>
    </row>
    <row r="137" spans="1:52" ht="20.100000000000001" customHeight="1">
      <c r="A137" s="62">
        <v>12</v>
      </c>
      <c r="B137" s="63"/>
      <c r="C137" s="242" t="s">
        <v>296</v>
      </c>
      <c r="D137" s="242"/>
      <c r="E137" s="243"/>
      <c r="F137" s="64"/>
      <c r="G137" s="244" t="s">
        <v>297</v>
      </c>
      <c r="H137" s="244"/>
      <c r="I137" s="244"/>
      <c r="J137" s="244"/>
      <c r="K137" s="245"/>
      <c r="L137" s="65">
        <f>SUM(L138:L153)</f>
        <v>24000000</v>
      </c>
      <c r="M137" s="65">
        <f>SUM(M138:M153)</f>
        <v>5004500</v>
      </c>
      <c r="N137" s="65">
        <f>SUM(N138:N153)</f>
        <v>3215000</v>
      </c>
      <c r="O137" s="65">
        <f>SUM(O138:O153)</f>
        <v>0</v>
      </c>
      <c r="P137" s="65">
        <f>SUM(P138:P153)</f>
        <v>0</v>
      </c>
      <c r="Q137" s="65">
        <f>SUM(N137:P137)</f>
        <v>3215000</v>
      </c>
      <c r="R137" s="66">
        <f>Q137/M137*100</f>
        <v>64.242182036167449</v>
      </c>
      <c r="S137" s="65">
        <f>M137-Q137</f>
        <v>1789500</v>
      </c>
      <c r="T137" s="65">
        <f>SUM(T138:T153)</f>
        <v>7572500</v>
      </c>
      <c r="U137" s="65">
        <f>T137+M137</f>
        <v>12577000</v>
      </c>
      <c r="V137" s="65">
        <f>T137+S137</f>
        <v>9362000</v>
      </c>
      <c r="W137" s="65">
        <f>SUM(W138:W153)</f>
        <v>4209950</v>
      </c>
      <c r="X137" s="65">
        <f>SUM(X138:X153)</f>
        <v>0</v>
      </c>
      <c r="Y137" s="65">
        <f>SUM(Y138:Y153)</f>
        <v>0</v>
      </c>
      <c r="Z137" s="65"/>
      <c r="AA137" s="65">
        <f>SUM(AA138:AA153)</f>
        <v>6717500</v>
      </c>
      <c r="AB137" s="65">
        <f>SUM(AB138:AB153)</f>
        <v>24000000</v>
      </c>
      <c r="AC137" s="65">
        <f t="shared" si="61"/>
        <v>0</v>
      </c>
      <c r="AD137" s="65">
        <f>AA137+T137+M137</f>
        <v>19294500</v>
      </c>
      <c r="AE137" s="65">
        <f t="shared" ref="AE137:AK137" si="68">SUM(AE138:AE153)</f>
        <v>0</v>
      </c>
      <c r="AF137" s="65">
        <f t="shared" si="68"/>
        <v>0</v>
      </c>
      <c r="AG137" s="65">
        <f t="shared" si="68"/>
        <v>6218575</v>
      </c>
      <c r="AH137" s="65">
        <f t="shared" si="68"/>
        <v>0</v>
      </c>
      <c r="AI137" s="65">
        <f t="shared" si="68"/>
        <v>0</v>
      </c>
      <c r="AJ137" s="65">
        <f t="shared" si="68"/>
        <v>2450000</v>
      </c>
      <c r="AK137" s="65">
        <f t="shared" si="68"/>
        <v>16093525</v>
      </c>
      <c r="AL137" s="65">
        <f>AK137/AB137*100</f>
        <v>67.056354166666665</v>
      </c>
      <c r="AM137" s="65">
        <f>SUM(AM138:AM153)</f>
        <v>0</v>
      </c>
      <c r="AN137" s="65">
        <f>SUM(AN138:AN153)</f>
        <v>0</v>
      </c>
      <c r="AO137" s="42">
        <f>SUM(AO138:AO153)</f>
        <v>1350000</v>
      </c>
      <c r="AP137" s="65">
        <f>SUM(AP138:AP153)</f>
        <v>0</v>
      </c>
      <c r="AQ137" s="65">
        <f>AK137+AM137+AN137+AO137+AP137</f>
        <v>17443525</v>
      </c>
      <c r="AR137" s="65">
        <f>AQ137/AB137*100</f>
        <v>72.681354166666665</v>
      </c>
      <c r="AS137" s="65">
        <f>AB137-AQ137</f>
        <v>6556475</v>
      </c>
      <c r="AT137" s="65">
        <f>SUM(AT140:AT146)</f>
        <v>9274500</v>
      </c>
      <c r="AU137" s="65">
        <f>AT137+U137</f>
        <v>21851500</v>
      </c>
      <c r="AV137" s="65">
        <f>AK137</f>
        <v>16093525</v>
      </c>
      <c r="AW137" s="66">
        <f>AV137/AU137*100</f>
        <v>73.649520627874523</v>
      </c>
      <c r="AX137" s="65">
        <f>AU137-AV137</f>
        <v>5757975</v>
      </c>
      <c r="AY137" s="65">
        <f>AS137/AB137*100</f>
        <v>27.318645833333331</v>
      </c>
      <c r="AZ137" s="67">
        <f t="shared" si="44"/>
        <v>16093525</v>
      </c>
    </row>
    <row r="138" spans="1:52" ht="20.100000000000001" hidden="1" customHeight="1">
      <c r="A138" s="68"/>
      <c r="B138" s="69"/>
      <c r="C138" s="240" t="s">
        <v>298</v>
      </c>
      <c r="D138" s="240"/>
      <c r="E138" s="241"/>
      <c r="F138" s="70"/>
      <c r="G138" s="71"/>
      <c r="H138" s="240" t="s">
        <v>10</v>
      </c>
      <c r="I138" s="240"/>
      <c r="J138" s="240"/>
      <c r="K138" s="241"/>
      <c r="L138" s="49"/>
      <c r="M138" s="49"/>
      <c r="N138" s="49"/>
      <c r="O138" s="49"/>
      <c r="P138" s="49"/>
      <c r="Q138" s="49"/>
      <c r="R138" s="72"/>
      <c r="S138" s="49"/>
      <c r="T138" s="49"/>
      <c r="U138" s="49"/>
      <c r="V138" s="49"/>
      <c r="W138" s="49"/>
      <c r="X138" s="49"/>
      <c r="Y138" s="49"/>
      <c r="Z138" s="49"/>
      <c r="AA138" s="49"/>
      <c r="AB138" s="49"/>
      <c r="AC138" s="49">
        <f t="shared" si="61"/>
        <v>0</v>
      </c>
      <c r="AD138" s="49"/>
      <c r="AE138" s="49"/>
      <c r="AF138" s="49"/>
      <c r="AG138" s="49"/>
      <c r="AH138" s="49"/>
      <c r="AI138" s="49"/>
      <c r="AJ138" s="49"/>
      <c r="AK138" s="49"/>
      <c r="AL138" s="49"/>
      <c r="AM138" s="49"/>
      <c r="AN138" s="49"/>
      <c r="AO138" s="49"/>
      <c r="AP138" s="49"/>
      <c r="AQ138" s="49"/>
      <c r="AR138" s="49"/>
      <c r="AS138" s="49"/>
      <c r="AT138" s="49"/>
      <c r="AU138" s="49"/>
      <c r="AV138" s="49"/>
      <c r="AW138" s="49"/>
      <c r="AX138" s="49"/>
      <c r="AY138" s="49"/>
      <c r="AZ138" s="73">
        <f t="shared" si="44"/>
        <v>0</v>
      </c>
    </row>
    <row r="139" spans="1:52" ht="20.100000000000001" hidden="1" customHeight="1">
      <c r="A139" s="68"/>
      <c r="B139" s="69"/>
      <c r="C139" s="240" t="s">
        <v>299</v>
      </c>
      <c r="D139" s="240"/>
      <c r="E139" s="241"/>
      <c r="F139" s="70"/>
      <c r="G139" s="71"/>
      <c r="H139" s="71"/>
      <c r="I139" s="240" t="s">
        <v>177</v>
      </c>
      <c r="J139" s="240"/>
      <c r="K139" s="241"/>
      <c r="L139" s="49"/>
      <c r="M139" s="49"/>
      <c r="N139" s="49"/>
      <c r="O139" s="49"/>
      <c r="P139" s="49"/>
      <c r="Q139" s="49"/>
      <c r="R139" s="72"/>
      <c r="S139" s="49"/>
      <c r="T139" s="49"/>
      <c r="U139" s="49"/>
      <c r="V139" s="49"/>
      <c r="W139" s="49"/>
      <c r="X139" s="49"/>
      <c r="Y139" s="49"/>
      <c r="Z139" s="49"/>
      <c r="AA139" s="49"/>
      <c r="AB139" s="49"/>
      <c r="AC139" s="49">
        <f t="shared" si="61"/>
        <v>0</v>
      </c>
      <c r="AD139" s="49"/>
      <c r="AE139" s="49"/>
      <c r="AF139" s="49"/>
      <c r="AG139" s="49"/>
      <c r="AH139" s="49"/>
      <c r="AI139" s="49"/>
      <c r="AJ139" s="49"/>
      <c r="AK139" s="49"/>
      <c r="AL139" s="49"/>
      <c r="AM139" s="49"/>
      <c r="AN139" s="49"/>
      <c r="AO139" s="49"/>
      <c r="AP139" s="49"/>
      <c r="AQ139" s="49"/>
      <c r="AR139" s="49"/>
      <c r="AS139" s="49"/>
      <c r="AT139" s="49"/>
      <c r="AU139" s="49"/>
      <c r="AV139" s="49"/>
      <c r="AW139" s="49"/>
      <c r="AX139" s="49"/>
      <c r="AY139" s="49"/>
      <c r="AZ139" s="73">
        <f t="shared" si="44"/>
        <v>0</v>
      </c>
    </row>
    <row r="140" spans="1:52" ht="20.100000000000001" hidden="1" customHeight="1">
      <c r="A140" s="68"/>
      <c r="B140" s="69"/>
      <c r="C140" s="240" t="s">
        <v>300</v>
      </c>
      <c r="D140" s="240"/>
      <c r="E140" s="241"/>
      <c r="F140" s="70"/>
      <c r="G140" s="71"/>
      <c r="H140" s="71"/>
      <c r="I140" s="71"/>
      <c r="J140" s="240" t="s">
        <v>283</v>
      </c>
      <c r="K140" s="241"/>
      <c r="L140" s="49">
        <v>5400000</v>
      </c>
      <c r="M140" s="49">
        <v>1350000</v>
      </c>
      <c r="N140" s="49">
        <v>1350000</v>
      </c>
      <c r="O140" s="49"/>
      <c r="P140" s="49"/>
      <c r="Q140" s="49">
        <f>SUM(N140:P140)</f>
        <v>1350000</v>
      </c>
      <c r="R140" s="72">
        <f>Q140/M140*100</f>
        <v>100</v>
      </c>
      <c r="S140" s="49">
        <f>M140-Q140</f>
        <v>0</v>
      </c>
      <c r="T140" s="49">
        <v>1350000</v>
      </c>
      <c r="U140" s="49">
        <f>T140+M140</f>
        <v>2700000</v>
      </c>
      <c r="V140" s="49">
        <f>T140+S140</f>
        <v>1350000</v>
      </c>
      <c r="W140" s="49">
        <v>1350000</v>
      </c>
      <c r="X140" s="49"/>
      <c r="Y140" s="49"/>
      <c r="Z140" s="49"/>
      <c r="AA140" s="49">
        <v>1350000</v>
      </c>
      <c r="AB140" s="49">
        <v>5400000</v>
      </c>
      <c r="AC140" s="49">
        <f t="shared" si="61"/>
        <v>0</v>
      </c>
      <c r="AD140" s="49">
        <f>AA140+T140+M140</f>
        <v>4050000</v>
      </c>
      <c r="AE140" s="49"/>
      <c r="AF140" s="49"/>
      <c r="AG140" s="49">
        <v>1350000</v>
      </c>
      <c r="AH140" s="49"/>
      <c r="AI140" s="49"/>
      <c r="AJ140" s="49"/>
      <c r="AK140" s="49">
        <f>Z140+Y140+X140+W140+N140+AG140+AJ140+AI140+AH140</f>
        <v>4050000</v>
      </c>
      <c r="AL140" s="49">
        <f>AK140/AD140*100</f>
        <v>100</v>
      </c>
      <c r="AM140" s="49"/>
      <c r="AN140" s="49"/>
      <c r="AO140" s="42">
        <v>1350000</v>
      </c>
      <c r="AP140" s="49"/>
      <c r="AQ140" s="49">
        <f>AK140+AM140+AN140+AO140+AP140</f>
        <v>5400000</v>
      </c>
      <c r="AR140" s="49">
        <f>AQ140/AB140*100</f>
        <v>100</v>
      </c>
      <c r="AS140" s="49">
        <f>AB140-AQ140</f>
        <v>0</v>
      </c>
      <c r="AT140" s="49">
        <v>3091500</v>
      </c>
      <c r="AU140" s="49">
        <f>AT140+U140</f>
        <v>5791500</v>
      </c>
      <c r="AV140" s="49">
        <f>AK140</f>
        <v>4050000</v>
      </c>
      <c r="AW140" s="72">
        <f>AV140/AU140*100</f>
        <v>69.930069930069934</v>
      </c>
      <c r="AX140" s="49">
        <f>AU140-AV140</f>
        <v>1741500</v>
      </c>
      <c r="AY140" s="49">
        <f>AS140/AB140*100</f>
        <v>0</v>
      </c>
      <c r="AZ140" s="73">
        <f t="shared" si="44"/>
        <v>4050000</v>
      </c>
    </row>
    <row r="141" spans="1:52" ht="20.100000000000001" hidden="1" customHeight="1">
      <c r="A141" s="68"/>
      <c r="B141" s="69"/>
      <c r="C141" s="240" t="s">
        <v>301</v>
      </c>
      <c r="D141" s="240"/>
      <c r="E141" s="241"/>
      <c r="F141" s="70"/>
      <c r="G141" s="71"/>
      <c r="H141" s="71"/>
      <c r="I141" s="240" t="s">
        <v>181</v>
      </c>
      <c r="J141" s="240"/>
      <c r="K141" s="241"/>
      <c r="L141" s="49"/>
      <c r="M141" s="49"/>
      <c r="N141" s="49"/>
      <c r="O141" s="49"/>
      <c r="P141" s="49"/>
      <c r="Q141" s="49"/>
      <c r="R141" s="72"/>
      <c r="S141" s="49"/>
      <c r="T141" s="49"/>
      <c r="U141" s="49"/>
      <c r="V141" s="49"/>
      <c r="W141" s="49"/>
      <c r="X141" s="49"/>
      <c r="Y141" s="49"/>
      <c r="Z141" s="49"/>
      <c r="AA141" s="49"/>
      <c r="AB141" s="49"/>
      <c r="AC141" s="49">
        <f t="shared" si="61"/>
        <v>0</v>
      </c>
      <c r="AD141" s="49"/>
      <c r="AE141" s="49"/>
      <c r="AF141" s="49"/>
      <c r="AG141" s="49"/>
      <c r="AH141" s="49"/>
      <c r="AI141" s="49"/>
      <c r="AJ141" s="49"/>
      <c r="AK141" s="49"/>
      <c r="AL141" s="49"/>
      <c r="AM141" s="49"/>
      <c r="AN141" s="49"/>
      <c r="AO141" s="49"/>
      <c r="AP141" s="49"/>
      <c r="AQ141" s="49"/>
      <c r="AR141" s="49"/>
      <c r="AS141" s="49"/>
      <c r="AT141" s="49"/>
      <c r="AU141" s="49"/>
      <c r="AV141" s="49"/>
      <c r="AW141" s="49"/>
      <c r="AX141" s="49"/>
      <c r="AY141" s="49"/>
      <c r="AZ141" s="73">
        <f t="shared" si="44"/>
        <v>0</v>
      </c>
    </row>
    <row r="142" spans="1:52" ht="20.100000000000001" hidden="1" customHeight="1">
      <c r="A142" s="68"/>
      <c r="B142" s="69"/>
      <c r="C142" s="240" t="s">
        <v>302</v>
      </c>
      <c r="D142" s="240"/>
      <c r="E142" s="241"/>
      <c r="F142" s="70"/>
      <c r="G142" s="71"/>
      <c r="H142" s="71"/>
      <c r="I142" s="71"/>
      <c r="J142" s="240" t="s">
        <v>183</v>
      </c>
      <c r="K142" s="241"/>
      <c r="L142" s="49">
        <v>2760000</v>
      </c>
      <c r="M142" s="49">
        <v>0</v>
      </c>
      <c r="N142" s="49"/>
      <c r="O142" s="49"/>
      <c r="P142" s="49"/>
      <c r="Q142" s="49">
        <f>SUM(N142:P142)</f>
        <v>0</v>
      </c>
      <c r="R142" s="72"/>
      <c r="S142" s="49">
        <f>M142-Q142</f>
        <v>0</v>
      </c>
      <c r="T142" s="49">
        <v>1380000</v>
      </c>
      <c r="U142" s="49">
        <f>T142+M142</f>
        <v>1380000</v>
      </c>
      <c r="V142" s="49">
        <f>T142+S142</f>
        <v>1380000</v>
      </c>
      <c r="W142" s="49"/>
      <c r="X142" s="49"/>
      <c r="Y142" s="49"/>
      <c r="Z142" s="49"/>
      <c r="AA142" s="49">
        <v>1380000</v>
      </c>
      <c r="AB142" s="49">
        <v>2760000</v>
      </c>
      <c r="AC142" s="49">
        <f t="shared" si="61"/>
        <v>0</v>
      </c>
      <c r="AD142" s="49">
        <f>AA142+T142+M142</f>
        <v>2760000</v>
      </c>
      <c r="AE142" s="49"/>
      <c r="AF142" s="49"/>
      <c r="AG142" s="49">
        <v>2747000</v>
      </c>
      <c r="AH142" s="49">
        <v>0</v>
      </c>
      <c r="AI142" s="49"/>
      <c r="AJ142" s="49"/>
      <c r="AK142" s="49">
        <f>Z142+Y142+X142+W142+N142+AG142+AJ142+AI142+AH142</f>
        <v>2747000</v>
      </c>
      <c r="AL142" s="49">
        <f>AK142/AD142*100</f>
        <v>99.528985507246375</v>
      </c>
      <c r="AM142" s="49"/>
      <c r="AN142" s="49"/>
      <c r="AO142" s="49"/>
      <c r="AP142" s="49"/>
      <c r="AQ142" s="49">
        <f>AK142+AM142+AN142+AO142+AP142</f>
        <v>2747000</v>
      </c>
      <c r="AR142" s="49">
        <f>AQ142/AB142*100</f>
        <v>99.528985507246375</v>
      </c>
      <c r="AS142" s="49">
        <f>AB142-AQ142</f>
        <v>13000</v>
      </c>
      <c r="AT142" s="49">
        <v>3091500</v>
      </c>
      <c r="AU142" s="49">
        <f>AT142+U142</f>
        <v>4471500</v>
      </c>
      <c r="AV142" s="49">
        <f>AK142</f>
        <v>2747000</v>
      </c>
      <c r="AW142" s="72">
        <f>AV142/AU142*100</f>
        <v>61.433523426143353</v>
      </c>
      <c r="AX142" s="49">
        <f>AU142-AV142</f>
        <v>1724500</v>
      </c>
      <c r="AY142" s="49">
        <f>AS142/AB142*100</f>
        <v>0.47101449275362323</v>
      </c>
      <c r="AZ142" s="73">
        <f t="shared" si="44"/>
        <v>2747000</v>
      </c>
    </row>
    <row r="143" spans="1:52" ht="20.100000000000001" hidden="1" customHeight="1">
      <c r="A143" s="68"/>
      <c r="B143" s="69"/>
      <c r="C143" s="240" t="s">
        <v>303</v>
      </c>
      <c r="D143" s="240"/>
      <c r="E143" s="241"/>
      <c r="F143" s="70"/>
      <c r="G143" s="71"/>
      <c r="H143" s="240" t="s">
        <v>143</v>
      </c>
      <c r="I143" s="240"/>
      <c r="J143" s="240"/>
      <c r="K143" s="241"/>
      <c r="L143" s="49"/>
      <c r="M143" s="49"/>
      <c r="N143" s="49"/>
      <c r="O143" s="49"/>
      <c r="P143" s="49"/>
      <c r="Q143" s="49"/>
      <c r="R143" s="72"/>
      <c r="S143" s="49"/>
      <c r="T143" s="49"/>
      <c r="U143" s="49"/>
      <c r="V143" s="49"/>
      <c r="W143" s="49"/>
      <c r="X143" s="49"/>
      <c r="Y143" s="49"/>
      <c r="Z143" s="49"/>
      <c r="AA143" s="49"/>
      <c r="AB143" s="49"/>
      <c r="AC143" s="49">
        <f t="shared" si="61"/>
        <v>0</v>
      </c>
      <c r="AD143" s="49"/>
      <c r="AE143" s="49"/>
      <c r="AF143" s="49"/>
      <c r="AG143" s="49"/>
      <c r="AH143" s="49"/>
      <c r="AI143" s="49"/>
      <c r="AJ143" s="49"/>
      <c r="AK143" s="49"/>
      <c r="AL143" s="49"/>
      <c r="AM143" s="49"/>
      <c r="AN143" s="49"/>
      <c r="AO143" s="49"/>
      <c r="AP143" s="49"/>
      <c r="AQ143" s="49"/>
      <c r="AR143" s="49"/>
      <c r="AS143" s="49"/>
      <c r="AT143" s="49"/>
      <c r="AU143" s="49"/>
      <c r="AV143" s="49"/>
      <c r="AW143" s="49"/>
      <c r="AX143" s="49"/>
      <c r="AY143" s="49"/>
      <c r="AZ143" s="73">
        <f t="shared" si="44"/>
        <v>0</v>
      </c>
    </row>
    <row r="144" spans="1:52" ht="20.100000000000001" hidden="1" customHeight="1">
      <c r="A144" s="68"/>
      <c r="B144" s="69"/>
      <c r="C144" s="240" t="s">
        <v>304</v>
      </c>
      <c r="D144" s="240"/>
      <c r="E144" s="241"/>
      <c r="F144" s="70"/>
      <c r="G144" s="71"/>
      <c r="H144" s="71"/>
      <c r="I144" s="240" t="s">
        <v>145</v>
      </c>
      <c r="J144" s="240"/>
      <c r="K144" s="241"/>
      <c r="L144" s="49"/>
      <c r="M144" s="49"/>
      <c r="N144" s="49"/>
      <c r="O144" s="49"/>
      <c r="P144" s="49"/>
      <c r="Q144" s="49"/>
      <c r="R144" s="72"/>
      <c r="S144" s="49"/>
      <c r="T144" s="49"/>
      <c r="U144" s="49"/>
      <c r="V144" s="49"/>
      <c r="W144" s="49"/>
      <c r="X144" s="49"/>
      <c r="Y144" s="49"/>
      <c r="Z144" s="49"/>
      <c r="AA144" s="49"/>
      <c r="AB144" s="49"/>
      <c r="AC144" s="49">
        <f t="shared" si="61"/>
        <v>0</v>
      </c>
      <c r="AD144" s="49"/>
      <c r="AE144" s="49"/>
      <c r="AF144" s="49"/>
      <c r="AG144" s="49"/>
      <c r="AH144" s="49"/>
      <c r="AI144" s="49"/>
      <c r="AJ144" s="49"/>
      <c r="AK144" s="49"/>
      <c r="AL144" s="49"/>
      <c r="AM144" s="49"/>
      <c r="AN144" s="49"/>
      <c r="AO144" s="49"/>
      <c r="AP144" s="49"/>
      <c r="AQ144" s="49"/>
      <c r="AR144" s="49"/>
      <c r="AS144" s="49"/>
      <c r="AT144" s="49"/>
      <c r="AU144" s="49"/>
      <c r="AV144" s="49"/>
      <c r="AW144" s="49"/>
      <c r="AX144" s="49"/>
      <c r="AY144" s="49"/>
      <c r="AZ144" s="73">
        <f t="shared" si="44"/>
        <v>0</v>
      </c>
    </row>
    <row r="145" spans="1:52" ht="20.100000000000001" hidden="1" customHeight="1">
      <c r="A145" s="68"/>
      <c r="B145" s="69"/>
      <c r="C145" s="240" t="s">
        <v>305</v>
      </c>
      <c r="D145" s="240"/>
      <c r="E145" s="241"/>
      <c r="F145" s="70"/>
      <c r="G145" s="71"/>
      <c r="H145" s="71"/>
      <c r="I145" s="71"/>
      <c r="J145" s="240" t="s">
        <v>147</v>
      </c>
      <c r="K145" s="241"/>
      <c r="L145" s="49">
        <v>1667000</v>
      </c>
      <c r="M145" s="49">
        <v>767000</v>
      </c>
      <c r="N145" s="49">
        <v>745000</v>
      </c>
      <c r="O145" s="49"/>
      <c r="P145" s="49"/>
      <c r="Q145" s="49">
        <f>SUM(N145:P145)</f>
        <v>745000</v>
      </c>
      <c r="R145" s="72">
        <f>Q145/M145*100</f>
        <v>97.131681877444592</v>
      </c>
      <c r="S145" s="49">
        <f>M145-Q145</f>
        <v>22000</v>
      </c>
      <c r="T145" s="49">
        <v>0</v>
      </c>
      <c r="U145" s="49">
        <f>T145+M145</f>
        <v>767000</v>
      </c>
      <c r="V145" s="49">
        <f>T145+S145</f>
        <v>22000</v>
      </c>
      <c r="W145" s="49"/>
      <c r="X145" s="49"/>
      <c r="Y145" s="49"/>
      <c r="Z145" s="49"/>
      <c r="AA145" s="49">
        <v>900000</v>
      </c>
      <c r="AB145" s="49">
        <v>1667000</v>
      </c>
      <c r="AC145" s="49">
        <f t="shared" si="61"/>
        <v>0</v>
      </c>
      <c r="AD145" s="49">
        <f>AA145+T145+M145</f>
        <v>1667000</v>
      </c>
      <c r="AE145" s="49"/>
      <c r="AF145" s="49"/>
      <c r="AG145" s="49">
        <v>921600</v>
      </c>
      <c r="AH145" s="49"/>
      <c r="AI145" s="49"/>
      <c r="AJ145" s="49"/>
      <c r="AK145" s="49">
        <f>Z145+Y145+X145+W145+N145+AG145+AJ145+AI145+AH145</f>
        <v>1666600</v>
      </c>
      <c r="AL145" s="49">
        <f>AK145/AD145*100</f>
        <v>99.976004799040197</v>
      </c>
      <c r="AM145" s="49"/>
      <c r="AN145" s="49"/>
      <c r="AO145" s="49"/>
      <c r="AP145" s="49"/>
      <c r="AQ145" s="49">
        <f>AK145+AM145+AN145+AO145+AP145</f>
        <v>1666600</v>
      </c>
      <c r="AR145" s="49">
        <f>AQ145/AB145*100</f>
        <v>99.976004799040197</v>
      </c>
      <c r="AS145" s="49">
        <f>AB145-AQ145</f>
        <v>400</v>
      </c>
      <c r="AT145" s="49">
        <v>3091500</v>
      </c>
      <c r="AU145" s="49">
        <f>AT145+U145</f>
        <v>3858500</v>
      </c>
      <c r="AV145" s="49">
        <f>AK145</f>
        <v>1666600</v>
      </c>
      <c r="AW145" s="72">
        <f>AV145/AU145*100</f>
        <v>43.192950628482571</v>
      </c>
      <c r="AX145" s="49">
        <f>AU145-AV145</f>
        <v>2191900</v>
      </c>
      <c r="AY145" s="49">
        <f>AS145/AB145*100</f>
        <v>2.399520095980804E-2</v>
      </c>
      <c r="AZ145" s="73">
        <f t="shared" si="44"/>
        <v>1666600</v>
      </c>
    </row>
    <row r="146" spans="1:52" ht="20.100000000000001" hidden="1" customHeight="1">
      <c r="A146" s="68"/>
      <c r="B146" s="69"/>
      <c r="C146" s="240" t="s">
        <v>306</v>
      </c>
      <c r="D146" s="240"/>
      <c r="E146" s="241"/>
      <c r="F146" s="70"/>
      <c r="G146" s="71"/>
      <c r="H146" s="71"/>
      <c r="I146" s="240" t="s">
        <v>151</v>
      </c>
      <c r="J146" s="240"/>
      <c r="K146" s="241"/>
      <c r="L146" s="49"/>
      <c r="M146" s="49"/>
      <c r="N146" s="49"/>
      <c r="O146" s="49"/>
      <c r="P146" s="49"/>
      <c r="Q146" s="49"/>
      <c r="R146" s="72"/>
      <c r="S146" s="49"/>
      <c r="T146" s="49"/>
      <c r="U146" s="49"/>
      <c r="V146" s="49"/>
      <c r="W146" s="49"/>
      <c r="X146" s="49"/>
      <c r="Y146" s="49"/>
      <c r="Z146" s="49"/>
      <c r="AA146" s="49"/>
      <c r="AB146" s="49"/>
      <c r="AC146" s="49">
        <f t="shared" si="61"/>
        <v>0</v>
      </c>
      <c r="AD146" s="49"/>
      <c r="AE146" s="49"/>
      <c r="AF146" s="49"/>
      <c r="AG146" s="49"/>
      <c r="AH146" s="49"/>
      <c r="AI146" s="49"/>
      <c r="AJ146" s="49"/>
      <c r="AK146" s="49"/>
      <c r="AL146" s="49"/>
      <c r="AM146" s="49"/>
      <c r="AN146" s="49"/>
      <c r="AO146" s="49"/>
      <c r="AP146" s="49"/>
      <c r="AQ146" s="49"/>
      <c r="AR146" s="49"/>
      <c r="AS146" s="49"/>
      <c r="AT146" s="49"/>
      <c r="AU146" s="49"/>
      <c r="AV146" s="49"/>
      <c r="AW146" s="49"/>
      <c r="AX146" s="49"/>
      <c r="AY146" s="49"/>
      <c r="AZ146" s="73">
        <f t="shared" si="44"/>
        <v>0</v>
      </c>
    </row>
    <row r="147" spans="1:52" ht="20.100000000000001" hidden="1" customHeight="1">
      <c r="A147" s="68"/>
      <c r="B147" s="69"/>
      <c r="C147" s="240" t="s">
        <v>307</v>
      </c>
      <c r="D147" s="240"/>
      <c r="E147" s="241"/>
      <c r="F147" s="70"/>
      <c r="G147" s="71"/>
      <c r="H147" s="71"/>
      <c r="I147" s="71"/>
      <c r="J147" s="240" t="s">
        <v>155</v>
      </c>
      <c r="K147" s="241"/>
      <c r="L147" s="49">
        <v>1828000</v>
      </c>
      <c r="M147" s="49">
        <v>500000</v>
      </c>
      <c r="N147" s="49">
        <v>490000</v>
      </c>
      <c r="O147" s="49"/>
      <c r="P147" s="49"/>
      <c r="Q147" s="49">
        <f>SUM(N147:P147)</f>
        <v>490000</v>
      </c>
      <c r="R147" s="72">
        <f>Q147/M147*100</f>
        <v>98</v>
      </c>
      <c r="S147" s="49">
        <f>M147-Q147</f>
        <v>10000</v>
      </c>
      <c r="T147" s="49">
        <v>500000</v>
      </c>
      <c r="U147" s="49">
        <f>T147+M147</f>
        <v>1000000</v>
      </c>
      <c r="V147" s="49">
        <f>T147+S147</f>
        <v>510000</v>
      </c>
      <c r="W147" s="49">
        <v>509950</v>
      </c>
      <c r="X147" s="49"/>
      <c r="Y147" s="49"/>
      <c r="Z147" s="49"/>
      <c r="AA147" s="49">
        <v>500000</v>
      </c>
      <c r="AB147" s="49">
        <v>1828000</v>
      </c>
      <c r="AC147" s="49">
        <f t="shared" si="61"/>
        <v>0</v>
      </c>
      <c r="AD147" s="49">
        <f>AA147+T147+M147</f>
        <v>1500000</v>
      </c>
      <c r="AE147" s="49"/>
      <c r="AF147" s="49"/>
      <c r="AG147" s="49">
        <v>499975</v>
      </c>
      <c r="AH147" s="49"/>
      <c r="AI147" s="49"/>
      <c r="AJ147" s="49"/>
      <c r="AK147" s="49">
        <f>Z147+Y147+X147+W147+N147+AG147+AJ147+AI147+AH147</f>
        <v>1499925</v>
      </c>
      <c r="AL147" s="49">
        <f>AK147/AD147*100</f>
        <v>99.995000000000005</v>
      </c>
      <c r="AM147" s="49"/>
      <c r="AN147" s="49"/>
      <c r="AO147" s="49"/>
      <c r="AP147" s="49"/>
      <c r="AQ147" s="49">
        <f>AK147+AM147+AN147+AO147+AP147</f>
        <v>1499925</v>
      </c>
      <c r="AR147" s="49">
        <f>AQ147/AB147*100</f>
        <v>82.052789934354493</v>
      </c>
      <c r="AS147" s="49">
        <f>AB147-AQ147</f>
        <v>328075</v>
      </c>
      <c r="AT147" s="49">
        <v>3091500</v>
      </c>
      <c r="AU147" s="49">
        <f>AT147+U147</f>
        <v>4091500</v>
      </c>
      <c r="AV147" s="49">
        <f>AK147</f>
        <v>1499925</v>
      </c>
      <c r="AW147" s="72">
        <f>AV147/AU147*100</f>
        <v>36.659538066723698</v>
      </c>
      <c r="AX147" s="49">
        <f>AU147-AV147</f>
        <v>2591575</v>
      </c>
      <c r="AY147" s="49">
        <f>AS147/AB147*100</f>
        <v>17.947210065645514</v>
      </c>
      <c r="AZ147" s="73">
        <f t="shared" si="44"/>
        <v>1499925</v>
      </c>
    </row>
    <row r="148" spans="1:52" ht="20.100000000000001" hidden="1" customHeight="1">
      <c r="A148" s="68"/>
      <c r="B148" s="69"/>
      <c r="C148" s="240" t="s">
        <v>308</v>
      </c>
      <c r="D148" s="240"/>
      <c r="E148" s="241"/>
      <c r="F148" s="70"/>
      <c r="G148" s="71"/>
      <c r="H148" s="71"/>
      <c r="I148" s="71"/>
      <c r="J148" s="240" t="s">
        <v>309</v>
      </c>
      <c r="K148" s="241"/>
      <c r="L148" s="49">
        <v>200000</v>
      </c>
      <c r="M148" s="49">
        <v>0</v>
      </c>
      <c r="N148" s="49"/>
      <c r="O148" s="49"/>
      <c r="P148" s="49"/>
      <c r="Q148" s="49">
        <f>SUM(N148:P148)</f>
        <v>0</v>
      </c>
      <c r="R148" s="72"/>
      <c r="S148" s="49">
        <f>M148-Q148</f>
        <v>0</v>
      </c>
      <c r="T148" s="49">
        <v>0</v>
      </c>
      <c r="U148" s="49">
        <f>T148+M148</f>
        <v>0</v>
      </c>
      <c r="V148" s="49">
        <f>T148+S148</f>
        <v>0</v>
      </c>
      <c r="W148" s="49"/>
      <c r="X148" s="49"/>
      <c r="Y148" s="49"/>
      <c r="Z148" s="49"/>
      <c r="AA148" s="49">
        <v>100000</v>
      </c>
      <c r="AB148" s="49">
        <v>200000</v>
      </c>
      <c r="AC148" s="49">
        <f t="shared" si="61"/>
        <v>0</v>
      </c>
      <c r="AD148" s="49">
        <f>AA148+T148+M148</f>
        <v>100000</v>
      </c>
      <c r="AE148" s="49"/>
      <c r="AF148" s="49"/>
      <c r="AG148" s="49"/>
      <c r="AH148" s="49"/>
      <c r="AI148" s="49"/>
      <c r="AJ148" s="49"/>
      <c r="AK148" s="49">
        <f>Z148+Y148+X148+W148+N148+AG148+AJ148+AI148+AH148</f>
        <v>0</v>
      </c>
      <c r="AL148" s="49">
        <f>AK148/AD148*100</f>
        <v>0</v>
      </c>
      <c r="AM148" s="49"/>
      <c r="AN148" s="49"/>
      <c r="AO148" s="49"/>
      <c r="AP148" s="49"/>
      <c r="AQ148" s="49">
        <f>AK148+AL148+AM148+AN148+AO148+AP148</f>
        <v>0</v>
      </c>
      <c r="AR148" s="49"/>
      <c r="AS148" s="49">
        <f>AB148-AQ148</f>
        <v>200000</v>
      </c>
      <c r="AT148" s="49">
        <v>3091500</v>
      </c>
      <c r="AU148" s="49">
        <f>AT148+U148</f>
        <v>3091500</v>
      </c>
      <c r="AV148" s="49">
        <f>AK148</f>
        <v>0</v>
      </c>
      <c r="AW148" s="72">
        <f>AV148/AU148*100</f>
        <v>0</v>
      </c>
      <c r="AX148" s="49">
        <f>AU148-AV148</f>
        <v>3091500</v>
      </c>
      <c r="AY148" s="49">
        <f>AS148/AB148*100</f>
        <v>100</v>
      </c>
      <c r="AZ148" s="73">
        <f t="shared" si="44"/>
        <v>0</v>
      </c>
    </row>
    <row r="149" spans="1:52" ht="20.100000000000001" hidden="1" customHeight="1">
      <c r="A149" s="68"/>
      <c r="B149" s="69"/>
      <c r="C149" s="240" t="s">
        <v>310</v>
      </c>
      <c r="D149" s="240"/>
      <c r="E149" s="241"/>
      <c r="F149" s="70"/>
      <c r="G149" s="71"/>
      <c r="H149" s="71"/>
      <c r="I149" s="240" t="s">
        <v>193</v>
      </c>
      <c r="J149" s="240"/>
      <c r="K149" s="241"/>
      <c r="L149" s="49"/>
      <c r="M149" s="49"/>
      <c r="N149" s="49"/>
      <c r="O149" s="49"/>
      <c r="P149" s="49"/>
      <c r="Q149" s="49"/>
      <c r="R149" s="72"/>
      <c r="S149" s="49"/>
      <c r="T149" s="49"/>
      <c r="U149" s="49"/>
      <c r="V149" s="49"/>
      <c r="W149" s="49"/>
      <c r="X149" s="49"/>
      <c r="Y149" s="49"/>
      <c r="Z149" s="49"/>
      <c r="AA149" s="49"/>
      <c r="AB149" s="49"/>
      <c r="AC149" s="49">
        <f t="shared" si="61"/>
        <v>0</v>
      </c>
      <c r="AD149" s="49"/>
      <c r="AE149" s="49"/>
      <c r="AF149" s="49"/>
      <c r="AG149" s="49"/>
      <c r="AH149" s="49"/>
      <c r="AI149" s="49"/>
      <c r="AJ149" s="49"/>
      <c r="AK149" s="49"/>
      <c r="AL149" s="49"/>
      <c r="AM149" s="49"/>
      <c r="AN149" s="49"/>
      <c r="AO149" s="49"/>
      <c r="AP149" s="49"/>
      <c r="AQ149" s="49"/>
      <c r="AR149" s="49"/>
      <c r="AS149" s="49"/>
      <c r="AT149" s="49"/>
      <c r="AU149" s="49"/>
      <c r="AV149" s="49"/>
      <c r="AW149" s="49"/>
      <c r="AX149" s="49"/>
      <c r="AY149" s="49"/>
      <c r="AZ149" s="73">
        <f t="shared" si="44"/>
        <v>0</v>
      </c>
    </row>
    <row r="150" spans="1:52" ht="20.100000000000001" hidden="1" customHeight="1">
      <c r="A150" s="68"/>
      <c r="B150" s="69"/>
      <c r="C150" s="240" t="s">
        <v>311</v>
      </c>
      <c r="D150" s="240"/>
      <c r="E150" s="241"/>
      <c r="F150" s="70"/>
      <c r="G150" s="71"/>
      <c r="H150" s="71"/>
      <c r="I150" s="71"/>
      <c r="J150" s="240" t="s">
        <v>312</v>
      </c>
      <c r="K150" s="241"/>
      <c r="L150" s="49">
        <v>3150000</v>
      </c>
      <c r="M150" s="49">
        <v>787500</v>
      </c>
      <c r="N150" s="49">
        <v>630000</v>
      </c>
      <c r="O150" s="49"/>
      <c r="P150" s="49"/>
      <c r="Q150" s="49">
        <f>SUM(N150:P150)</f>
        <v>630000</v>
      </c>
      <c r="R150" s="72">
        <f>Q150/M150*100</f>
        <v>80</v>
      </c>
      <c r="S150" s="49">
        <f>M150-Q150</f>
        <v>157500</v>
      </c>
      <c r="T150" s="49">
        <v>787500</v>
      </c>
      <c r="U150" s="49">
        <f>T150+M150</f>
        <v>1575000</v>
      </c>
      <c r="V150" s="49">
        <f>T150+S150</f>
        <v>945000</v>
      </c>
      <c r="W150" s="49">
        <v>700000</v>
      </c>
      <c r="X150" s="49"/>
      <c r="Y150" s="49"/>
      <c r="Z150" s="49"/>
      <c r="AA150" s="49">
        <v>787500</v>
      </c>
      <c r="AB150" s="49">
        <v>3150000</v>
      </c>
      <c r="AC150" s="49">
        <f t="shared" si="61"/>
        <v>0</v>
      </c>
      <c r="AD150" s="49">
        <f>AA150+T150+M150</f>
        <v>2362500</v>
      </c>
      <c r="AE150" s="49"/>
      <c r="AF150" s="49"/>
      <c r="AG150" s="49">
        <v>700000</v>
      </c>
      <c r="AH150" s="49"/>
      <c r="AI150" s="49"/>
      <c r="AJ150" s="49"/>
      <c r="AK150" s="49">
        <f>Z150+Y150+X150+W150+N150+AG150+AJ150+AI150+AH150</f>
        <v>2030000</v>
      </c>
      <c r="AL150" s="49">
        <f>AK150/AD150*100</f>
        <v>85.925925925925924</v>
      </c>
      <c r="AM150" s="49"/>
      <c r="AN150" s="49"/>
      <c r="AO150" s="49">
        <v>0</v>
      </c>
      <c r="AP150" s="49"/>
      <c r="AQ150" s="49">
        <f>AK150+AM150+AN150+AO150+AP150</f>
        <v>2030000</v>
      </c>
      <c r="AR150" s="49">
        <f>AQ150/AB150*100</f>
        <v>64.444444444444443</v>
      </c>
      <c r="AS150" s="49">
        <f>AB150-AQ150</f>
        <v>1120000</v>
      </c>
      <c r="AT150" s="49">
        <v>3091500</v>
      </c>
      <c r="AU150" s="49">
        <f>AT150+U150</f>
        <v>4666500</v>
      </c>
      <c r="AV150" s="49">
        <f>AK150</f>
        <v>2030000</v>
      </c>
      <c r="AW150" s="72">
        <f>AV150/AU150*100</f>
        <v>43.501553626915246</v>
      </c>
      <c r="AX150" s="49">
        <f>AU150-AV150</f>
        <v>2636500</v>
      </c>
      <c r="AY150" s="49">
        <f>AS150/AB150*100</f>
        <v>35.555555555555557</v>
      </c>
      <c r="AZ150" s="73">
        <f t="shared" si="44"/>
        <v>2030000</v>
      </c>
    </row>
    <row r="151" spans="1:52" ht="20.100000000000001" hidden="1" customHeight="1">
      <c r="A151" s="68"/>
      <c r="B151" s="69"/>
      <c r="C151" s="240" t="s">
        <v>313</v>
      </c>
      <c r="D151" s="240"/>
      <c r="E151" s="241"/>
      <c r="F151" s="70"/>
      <c r="G151" s="71"/>
      <c r="H151" s="71"/>
      <c r="I151" s="240" t="s">
        <v>157</v>
      </c>
      <c r="J151" s="240"/>
      <c r="K151" s="241"/>
      <c r="L151" s="49"/>
      <c r="M151" s="49"/>
      <c r="N151" s="49"/>
      <c r="O151" s="49"/>
      <c r="P151" s="49"/>
      <c r="Q151" s="49"/>
      <c r="R151" s="72"/>
      <c r="S151" s="49"/>
      <c r="T151" s="49"/>
      <c r="U151" s="49"/>
      <c r="V151" s="49"/>
      <c r="W151" s="49"/>
      <c r="X151" s="49"/>
      <c r="Y151" s="49"/>
      <c r="Z151" s="49"/>
      <c r="AA151" s="49"/>
      <c r="AB151" s="49"/>
      <c r="AC151" s="49">
        <f t="shared" si="61"/>
        <v>0</v>
      </c>
      <c r="AD151" s="49"/>
      <c r="AE151" s="49"/>
      <c r="AF151" s="49"/>
      <c r="AG151" s="49"/>
      <c r="AH151" s="49"/>
      <c r="AI151" s="49"/>
      <c r="AJ151" s="49"/>
      <c r="AK151" s="49"/>
      <c r="AL151" s="49"/>
      <c r="AM151" s="49"/>
      <c r="AN151" s="49"/>
      <c r="AO151" s="49"/>
      <c r="AP151" s="49"/>
      <c r="AQ151" s="49"/>
      <c r="AR151" s="49"/>
      <c r="AS151" s="49"/>
      <c r="AT151" s="49"/>
      <c r="AU151" s="49"/>
      <c r="AV151" s="49"/>
      <c r="AW151" s="49"/>
      <c r="AX151" s="49"/>
      <c r="AY151" s="49"/>
      <c r="AZ151" s="73">
        <f t="shared" si="44"/>
        <v>0</v>
      </c>
    </row>
    <row r="152" spans="1:52" ht="20.100000000000001" hidden="1" customHeight="1">
      <c r="A152" s="68"/>
      <c r="B152" s="69"/>
      <c r="C152" s="240" t="s">
        <v>314</v>
      </c>
      <c r="D152" s="240"/>
      <c r="E152" s="241"/>
      <c r="F152" s="70"/>
      <c r="G152" s="71"/>
      <c r="H152" s="71"/>
      <c r="I152" s="71"/>
      <c r="J152" s="240" t="s">
        <v>159</v>
      </c>
      <c r="K152" s="241"/>
      <c r="L152" s="49">
        <v>3840000</v>
      </c>
      <c r="M152" s="49">
        <v>600000</v>
      </c>
      <c r="N152" s="49">
        <v>0</v>
      </c>
      <c r="O152" s="49"/>
      <c r="P152" s="49"/>
      <c r="Q152" s="49">
        <f>SUM(N152:P152)</f>
        <v>0</v>
      </c>
      <c r="R152" s="72">
        <f>Q152/M152*100</f>
        <v>0</v>
      </c>
      <c r="S152" s="49">
        <f>M152-Q152</f>
        <v>600000</v>
      </c>
      <c r="T152" s="49">
        <v>1400000</v>
      </c>
      <c r="U152" s="49">
        <f>T152+M152</f>
        <v>2000000</v>
      </c>
      <c r="V152" s="49">
        <f>T152+S152</f>
        <v>2000000</v>
      </c>
      <c r="W152" s="49">
        <v>1650000</v>
      </c>
      <c r="X152" s="49"/>
      <c r="Y152" s="49"/>
      <c r="Z152" s="49"/>
      <c r="AA152" s="49">
        <v>700000</v>
      </c>
      <c r="AB152" s="49">
        <v>5340000</v>
      </c>
      <c r="AC152" s="49">
        <f t="shared" si="61"/>
        <v>1500000</v>
      </c>
      <c r="AD152" s="49">
        <f>AA152+T152+M152</f>
        <v>2700000</v>
      </c>
      <c r="AE152" s="49"/>
      <c r="AF152" s="49"/>
      <c r="AG152" s="49">
        <v>0</v>
      </c>
      <c r="AH152" s="49"/>
      <c r="AI152" s="49"/>
      <c r="AJ152" s="49">
        <v>1000000</v>
      </c>
      <c r="AK152" s="49">
        <f>Z152+Y152+X152+W152+N152+AG152+AJ152+AI152+AH152</f>
        <v>2650000</v>
      </c>
      <c r="AL152" s="49">
        <f>AK152/AD152*100</f>
        <v>98.148148148148152</v>
      </c>
      <c r="AM152" s="49"/>
      <c r="AN152" s="49"/>
      <c r="AO152" s="49">
        <v>0</v>
      </c>
      <c r="AP152" s="49"/>
      <c r="AQ152" s="49">
        <f>AK152+AM152+AN152+AO152+AP152</f>
        <v>2650000</v>
      </c>
      <c r="AR152" s="49">
        <f>AQ152/AB152*100</f>
        <v>49.625468164794007</v>
      </c>
      <c r="AS152" s="49">
        <f>AB152-AQ152</f>
        <v>2690000</v>
      </c>
      <c r="AT152" s="49">
        <v>3091500</v>
      </c>
      <c r="AU152" s="49">
        <f>AT152+U152</f>
        <v>5091500</v>
      </c>
      <c r="AV152" s="49">
        <f>AK152</f>
        <v>2650000</v>
      </c>
      <c r="AW152" s="72">
        <f>AV152/AU152*100</f>
        <v>52.0475301973878</v>
      </c>
      <c r="AX152" s="49">
        <f>AU152-AV152</f>
        <v>2441500</v>
      </c>
      <c r="AY152" s="49">
        <f>AS152/AB152*100</f>
        <v>50.374531835205993</v>
      </c>
      <c r="AZ152" s="73">
        <f t="shared" si="44"/>
        <v>2650000</v>
      </c>
    </row>
    <row r="153" spans="1:52" ht="20.100000000000001" hidden="1" customHeight="1">
      <c r="A153" s="68"/>
      <c r="B153" s="69"/>
      <c r="C153" s="240" t="s">
        <v>315</v>
      </c>
      <c r="D153" s="240"/>
      <c r="E153" s="241"/>
      <c r="F153" s="70"/>
      <c r="G153" s="71"/>
      <c r="H153" s="71"/>
      <c r="I153" s="71"/>
      <c r="J153" s="240" t="s">
        <v>207</v>
      </c>
      <c r="K153" s="241"/>
      <c r="L153" s="49">
        <v>5155000</v>
      </c>
      <c r="M153" s="49">
        <v>1000000</v>
      </c>
      <c r="N153" s="49"/>
      <c r="O153" s="49"/>
      <c r="P153" s="49"/>
      <c r="Q153" s="49">
        <f>SUM(N153:P153)</f>
        <v>0</v>
      </c>
      <c r="R153" s="72">
        <f>Q153/M153*100</f>
        <v>0</v>
      </c>
      <c r="S153" s="49">
        <f>M153-Q153</f>
        <v>1000000</v>
      </c>
      <c r="T153" s="49">
        <v>2155000</v>
      </c>
      <c r="U153" s="49">
        <f>T153+M153</f>
        <v>3155000</v>
      </c>
      <c r="V153" s="49">
        <f>T153+S153</f>
        <v>3155000</v>
      </c>
      <c r="W153" s="49"/>
      <c r="X153" s="49"/>
      <c r="Y153" s="49"/>
      <c r="Z153" s="49"/>
      <c r="AA153" s="49">
        <v>1000000</v>
      </c>
      <c r="AB153" s="49">
        <v>3655000</v>
      </c>
      <c r="AC153" s="49">
        <f t="shared" si="61"/>
        <v>-1500000</v>
      </c>
      <c r="AD153" s="49">
        <f>AA153+T153+M153</f>
        <v>4155000</v>
      </c>
      <c r="AE153" s="49"/>
      <c r="AF153" s="49"/>
      <c r="AG153" s="49"/>
      <c r="AH153" s="49"/>
      <c r="AI153" s="49"/>
      <c r="AJ153" s="49">
        <v>1450000</v>
      </c>
      <c r="AK153" s="49">
        <f>Z153+Y153+X153+W153+N153+AG153+AJ153+AI153+AH153</f>
        <v>1450000</v>
      </c>
      <c r="AL153" s="49">
        <f>AK153/AD153*100</f>
        <v>34.89771359807461</v>
      </c>
      <c r="AM153" s="49"/>
      <c r="AN153" s="49"/>
      <c r="AO153" s="49">
        <v>0</v>
      </c>
      <c r="AP153" s="49"/>
      <c r="AQ153" s="49">
        <f>AK153+AM153+AN153+AO153+AP153</f>
        <v>1450000</v>
      </c>
      <c r="AR153" s="49">
        <f>AQ153/AB153*100</f>
        <v>39.671682626538988</v>
      </c>
      <c r="AS153" s="49">
        <f>AB153-AQ153</f>
        <v>2205000</v>
      </c>
      <c r="AT153" s="49">
        <v>3091500</v>
      </c>
      <c r="AU153" s="49">
        <f>AT153+U153</f>
        <v>6246500</v>
      </c>
      <c r="AV153" s="49">
        <f>AK153</f>
        <v>1450000</v>
      </c>
      <c r="AW153" s="72">
        <f>AV153/AU153*100</f>
        <v>23.212999279596573</v>
      </c>
      <c r="AX153" s="49">
        <f>AU153-AV153</f>
        <v>4796500</v>
      </c>
      <c r="AY153" s="49">
        <f>AS153/AB153*100</f>
        <v>60.328317373461019</v>
      </c>
      <c r="AZ153" s="73">
        <f t="shared" si="44"/>
        <v>1450000</v>
      </c>
    </row>
    <row r="154" spans="1:52" ht="20.100000000000001" customHeight="1">
      <c r="A154" s="60" t="s">
        <v>316</v>
      </c>
      <c r="B154" s="75"/>
      <c r="C154" s="247" t="s">
        <v>317</v>
      </c>
      <c r="D154" s="247"/>
      <c r="E154" s="248"/>
      <c r="F154" s="249" t="s">
        <v>8</v>
      </c>
      <c r="G154" s="250"/>
      <c r="H154" s="250"/>
      <c r="I154" s="250"/>
      <c r="J154" s="250"/>
      <c r="K154" s="251"/>
      <c r="L154" s="48">
        <f>L155+L168</f>
        <v>194000000</v>
      </c>
      <c r="M154" s="48">
        <f>M155+M168</f>
        <v>2533500</v>
      </c>
      <c r="N154" s="48">
        <f>N155+N168</f>
        <v>2489300</v>
      </c>
      <c r="O154" s="48">
        <f>O155+O168</f>
        <v>0</v>
      </c>
      <c r="P154" s="48">
        <f>P155+P168</f>
        <v>0</v>
      </c>
      <c r="Q154" s="48">
        <f>SUM(N154:P154)</f>
        <v>2489300</v>
      </c>
      <c r="R154" s="61">
        <f>Q154/M154*100</f>
        <v>98.255377935662125</v>
      </c>
      <c r="S154" s="48">
        <f>M154-Q154</f>
        <v>44200</v>
      </c>
      <c r="T154" s="48">
        <f>T155+T168</f>
        <v>24696000</v>
      </c>
      <c r="U154" s="48">
        <f>T154+M154</f>
        <v>27229500</v>
      </c>
      <c r="V154" s="48">
        <f>T154+S154</f>
        <v>24740200</v>
      </c>
      <c r="W154" s="48">
        <f>W155+W168</f>
        <v>4675000</v>
      </c>
      <c r="X154" s="48">
        <f>X155+X168</f>
        <v>12845100</v>
      </c>
      <c r="Y154" s="48">
        <f>Y155+Y168</f>
        <v>0</v>
      </c>
      <c r="Z154" s="48"/>
      <c r="AA154" s="48">
        <f>AA155+AA168</f>
        <v>50637000</v>
      </c>
      <c r="AB154" s="48">
        <f>AB155+AB168</f>
        <v>194000000</v>
      </c>
      <c r="AC154" s="48">
        <f t="shared" si="61"/>
        <v>0</v>
      </c>
      <c r="AD154" s="48">
        <f>AA154+T154+M154</f>
        <v>77866500</v>
      </c>
      <c r="AE154" s="48">
        <f t="shared" ref="AE154:AK154" si="69">AE155+AE168</f>
        <v>0</v>
      </c>
      <c r="AF154" s="48">
        <f t="shared" si="69"/>
        <v>0</v>
      </c>
      <c r="AG154" s="48">
        <f t="shared" si="69"/>
        <v>16285000</v>
      </c>
      <c r="AH154" s="48">
        <f t="shared" si="69"/>
        <v>0</v>
      </c>
      <c r="AI154" s="48">
        <f t="shared" si="69"/>
        <v>0</v>
      </c>
      <c r="AJ154" s="48">
        <f t="shared" si="69"/>
        <v>830900</v>
      </c>
      <c r="AK154" s="48">
        <f t="shared" si="69"/>
        <v>37125300</v>
      </c>
      <c r="AL154" s="48">
        <f>AK154/AB154*100</f>
        <v>19.136752577319587</v>
      </c>
      <c r="AM154" s="48">
        <f>AM155+AM168</f>
        <v>35985400</v>
      </c>
      <c r="AN154" s="48">
        <f>AN155+AN168</f>
        <v>13109425</v>
      </c>
      <c r="AO154" s="48">
        <f>AO155+AO168</f>
        <v>0</v>
      </c>
      <c r="AP154" s="48">
        <f>AP155+AP168</f>
        <v>107739500</v>
      </c>
      <c r="AQ154" s="48">
        <f>AK154+AM154+AN154+AO154+AP154</f>
        <v>193959625</v>
      </c>
      <c r="AR154" s="48">
        <f>AQ154/AB154*100</f>
        <v>99.979188144329896</v>
      </c>
      <c r="AS154" s="48">
        <f>AB154-AQ154</f>
        <v>40375</v>
      </c>
      <c r="AT154" s="48">
        <v>120767500</v>
      </c>
      <c r="AU154" s="48">
        <f>AT154+U154</f>
        <v>147997000</v>
      </c>
      <c r="AV154" s="48">
        <f>AK154</f>
        <v>37125300</v>
      </c>
      <c r="AW154" s="61">
        <f>AV154/AU154*100</f>
        <v>25.085170645350917</v>
      </c>
      <c r="AX154" s="48">
        <f>AU154-AV154</f>
        <v>110871700</v>
      </c>
      <c r="AY154" s="48">
        <f>AS154/AB154*100</f>
        <v>2.0811855670103092E-2</v>
      </c>
      <c r="AZ154" s="73">
        <f t="shared" si="44"/>
        <v>193959625</v>
      </c>
    </row>
    <row r="155" spans="1:52" ht="20.100000000000001" customHeight="1">
      <c r="A155" s="62">
        <v>13</v>
      </c>
      <c r="B155" s="63"/>
      <c r="C155" s="242" t="s">
        <v>318</v>
      </c>
      <c r="D155" s="242"/>
      <c r="E155" s="243"/>
      <c r="F155" s="64"/>
      <c r="G155" s="252" t="s">
        <v>319</v>
      </c>
      <c r="H155" s="252"/>
      <c r="I155" s="252"/>
      <c r="J155" s="252"/>
      <c r="K155" s="253"/>
      <c r="L155" s="65">
        <f>SUM(L158:L167)</f>
        <v>100000000</v>
      </c>
      <c r="M155" s="65">
        <f>SUM(M158:M167)</f>
        <v>1069000</v>
      </c>
      <c r="N155" s="65">
        <f>SUM(N158:N167)</f>
        <v>1068800</v>
      </c>
      <c r="O155" s="65">
        <f>SUM(O158:O167)</f>
        <v>0</v>
      </c>
      <c r="P155" s="65">
        <f>SUM(P158:P167)</f>
        <v>0</v>
      </c>
      <c r="Q155" s="65">
        <f>SUM(N155:P155)</f>
        <v>1068800</v>
      </c>
      <c r="R155" s="66">
        <f>Q155/M155*100</f>
        <v>99.981290926099149</v>
      </c>
      <c r="S155" s="65">
        <f>M155-Q155</f>
        <v>200</v>
      </c>
      <c r="T155" s="65">
        <f>SUM(T158:T167)</f>
        <v>22237000</v>
      </c>
      <c r="U155" s="65">
        <f>T155+M155</f>
        <v>23306000</v>
      </c>
      <c r="V155" s="65">
        <f>T155+S155</f>
        <v>22237200</v>
      </c>
      <c r="W155" s="65">
        <f>SUM(W158:W167)</f>
        <v>3000000</v>
      </c>
      <c r="X155" s="65">
        <f>SUM(X158:X167)</f>
        <v>12845100</v>
      </c>
      <c r="Y155" s="65">
        <f>SUM(Y158:Y167)</f>
        <v>0</v>
      </c>
      <c r="Z155" s="65"/>
      <c r="AA155" s="65">
        <f>SUM(AA158:AA167)</f>
        <v>43734000</v>
      </c>
      <c r="AB155" s="65">
        <f>SUM(AB158:AB167)</f>
        <v>100000000</v>
      </c>
      <c r="AC155" s="65">
        <f t="shared" si="61"/>
        <v>0</v>
      </c>
      <c r="AD155" s="65">
        <f>AA155+T155+M155</f>
        <v>67040000</v>
      </c>
      <c r="AE155" s="65">
        <f t="shared" ref="AE155:AK155" si="70">SUM(AE158:AE167)</f>
        <v>0</v>
      </c>
      <c r="AF155" s="65">
        <f t="shared" si="70"/>
        <v>0</v>
      </c>
      <c r="AG155" s="65">
        <f t="shared" si="70"/>
        <v>12055000</v>
      </c>
      <c r="AH155" s="65">
        <f t="shared" si="70"/>
        <v>0</v>
      </c>
      <c r="AI155" s="65">
        <f t="shared" si="70"/>
        <v>0</v>
      </c>
      <c r="AJ155" s="65">
        <f t="shared" si="70"/>
        <v>830900</v>
      </c>
      <c r="AK155" s="65">
        <f t="shared" si="70"/>
        <v>29799800</v>
      </c>
      <c r="AL155" s="65">
        <f>AK155/AB155*100</f>
        <v>29.799799999999998</v>
      </c>
      <c r="AM155" s="65">
        <f>SUM(AM158:AM167)</f>
        <v>35985400</v>
      </c>
      <c r="AN155" s="65">
        <f>SUM(AN158:AN167)</f>
        <v>0</v>
      </c>
      <c r="AO155" s="65">
        <f>SUM(AO158:AO167)</f>
        <v>0</v>
      </c>
      <c r="AP155" s="42">
        <f>SUM(AP158:AP167)</f>
        <v>34214500</v>
      </c>
      <c r="AQ155" s="65">
        <f>AK155+AM155+AN155+AO155+AP155</f>
        <v>99999700</v>
      </c>
      <c r="AR155" s="65">
        <f>AQ155/AB155*100</f>
        <v>99.999700000000004</v>
      </c>
      <c r="AS155" s="65">
        <f>AB155-AQ155</f>
        <v>300</v>
      </c>
      <c r="AT155" s="65">
        <f>SUM(AT158:AT164)</f>
        <v>15457500</v>
      </c>
      <c r="AU155" s="65">
        <f>AT155+U155</f>
        <v>38763500</v>
      </c>
      <c r="AV155" s="65">
        <f>AK155</f>
        <v>29799800</v>
      </c>
      <c r="AW155" s="66">
        <f>AV155/AU155*100</f>
        <v>76.875927096366425</v>
      </c>
      <c r="AX155" s="65">
        <f>AU155-AV155</f>
        <v>8963700</v>
      </c>
      <c r="AY155" s="65">
        <f>AS155/AB155*100</f>
        <v>3.0000000000000003E-4</v>
      </c>
      <c r="AZ155" s="67">
        <f>AQ155-AO155-AM155+17241000</f>
        <v>81255300</v>
      </c>
    </row>
    <row r="156" spans="1:52" ht="20.100000000000001" hidden="1" customHeight="1">
      <c r="A156" s="68"/>
      <c r="B156" s="69"/>
      <c r="C156" s="240" t="s">
        <v>320</v>
      </c>
      <c r="D156" s="240"/>
      <c r="E156" s="241"/>
      <c r="F156" s="70"/>
      <c r="G156" s="71"/>
      <c r="H156" s="240" t="s">
        <v>143</v>
      </c>
      <c r="I156" s="240"/>
      <c r="J156" s="240"/>
      <c r="K156" s="241"/>
      <c r="L156" s="49"/>
      <c r="M156" s="49"/>
      <c r="N156" s="49"/>
      <c r="O156" s="49"/>
      <c r="P156" s="49"/>
      <c r="Q156" s="49"/>
      <c r="R156" s="72"/>
      <c r="S156" s="49"/>
      <c r="T156" s="49"/>
      <c r="U156" s="49"/>
      <c r="V156" s="49"/>
      <c r="W156" s="49"/>
      <c r="X156" s="49"/>
      <c r="Y156" s="49"/>
      <c r="Z156" s="49"/>
      <c r="AA156" s="49"/>
      <c r="AB156" s="49"/>
      <c r="AC156" s="49">
        <f t="shared" si="61"/>
        <v>0</v>
      </c>
      <c r="AD156" s="49"/>
      <c r="AE156" s="49"/>
      <c r="AF156" s="49"/>
      <c r="AG156" s="49"/>
      <c r="AH156" s="49"/>
      <c r="AI156" s="49"/>
      <c r="AJ156" s="49"/>
      <c r="AK156" s="49"/>
      <c r="AL156" s="49"/>
      <c r="AM156" s="49"/>
      <c r="AN156" s="49"/>
      <c r="AO156" s="49"/>
      <c r="AP156" s="42"/>
      <c r="AQ156" s="49"/>
      <c r="AR156" s="49"/>
      <c r="AS156" s="49"/>
      <c r="AT156" s="49"/>
      <c r="AU156" s="49"/>
      <c r="AV156" s="49"/>
      <c r="AW156" s="49"/>
      <c r="AX156" s="49"/>
      <c r="AY156" s="49"/>
      <c r="AZ156" s="73"/>
    </row>
    <row r="157" spans="1:52" ht="20.100000000000001" hidden="1" customHeight="1">
      <c r="A157" s="68"/>
      <c r="B157" s="69"/>
      <c r="C157" s="240" t="s">
        <v>321</v>
      </c>
      <c r="D157" s="240"/>
      <c r="E157" s="241"/>
      <c r="F157" s="70"/>
      <c r="G157" s="71"/>
      <c r="H157" s="71"/>
      <c r="I157" s="240" t="s">
        <v>145</v>
      </c>
      <c r="J157" s="240"/>
      <c r="K157" s="241"/>
      <c r="L157" s="49"/>
      <c r="M157" s="49" t="s">
        <v>48</v>
      </c>
      <c r="N157" s="49"/>
      <c r="O157" s="49"/>
      <c r="P157" s="49"/>
      <c r="Q157" s="49"/>
      <c r="R157" s="72"/>
      <c r="S157" s="49"/>
      <c r="T157" s="49"/>
      <c r="U157" s="49"/>
      <c r="V157" s="49"/>
      <c r="W157" s="49"/>
      <c r="X157" s="49"/>
      <c r="Y157" s="49"/>
      <c r="Z157" s="49"/>
      <c r="AA157" s="49"/>
      <c r="AB157" s="49"/>
      <c r="AC157" s="49">
        <f t="shared" si="61"/>
        <v>0</v>
      </c>
      <c r="AD157" s="49"/>
      <c r="AE157" s="49"/>
      <c r="AF157" s="49"/>
      <c r="AG157" s="49"/>
      <c r="AH157" s="49"/>
      <c r="AI157" s="49"/>
      <c r="AJ157" s="49"/>
      <c r="AK157" s="49"/>
      <c r="AL157" s="49"/>
      <c r="AM157" s="49"/>
      <c r="AN157" s="49"/>
      <c r="AO157" s="49"/>
      <c r="AP157" s="42"/>
      <c r="AQ157" s="49"/>
      <c r="AR157" s="49"/>
      <c r="AS157" s="49"/>
      <c r="AT157" s="49"/>
      <c r="AU157" s="49"/>
      <c r="AV157" s="49"/>
      <c r="AW157" s="49"/>
      <c r="AX157" s="49"/>
      <c r="AY157" s="49"/>
      <c r="AZ157" s="73">
        <f t="shared" si="44"/>
        <v>0</v>
      </c>
    </row>
    <row r="158" spans="1:52" ht="20.100000000000001" hidden="1" customHeight="1">
      <c r="A158" s="68"/>
      <c r="B158" s="69"/>
      <c r="C158" s="240" t="s">
        <v>322</v>
      </c>
      <c r="D158" s="240"/>
      <c r="E158" s="241"/>
      <c r="F158" s="70"/>
      <c r="G158" s="71"/>
      <c r="H158" s="71"/>
      <c r="I158" s="71"/>
      <c r="J158" s="240" t="s">
        <v>147</v>
      </c>
      <c r="K158" s="241"/>
      <c r="L158" s="49">
        <v>699000</v>
      </c>
      <c r="M158" s="49">
        <v>699000</v>
      </c>
      <c r="N158" s="49">
        <v>698800</v>
      </c>
      <c r="O158" s="49"/>
      <c r="P158" s="49"/>
      <c r="Q158" s="49">
        <f>SUM(N158:P158)</f>
        <v>698800</v>
      </c>
      <c r="R158" s="72">
        <f>Q158/M158*100</f>
        <v>99.971387696709584</v>
      </c>
      <c r="S158" s="49">
        <f>M158-Q158</f>
        <v>200</v>
      </c>
      <c r="T158" s="49">
        <v>0</v>
      </c>
      <c r="U158" s="49">
        <f>T158+M158</f>
        <v>699000</v>
      </c>
      <c r="V158" s="49">
        <f>T158+S158</f>
        <v>200</v>
      </c>
      <c r="W158" s="49"/>
      <c r="X158" s="49"/>
      <c r="Y158" s="49"/>
      <c r="Z158" s="49"/>
      <c r="AA158" s="49">
        <v>0</v>
      </c>
      <c r="AB158" s="49">
        <v>699000</v>
      </c>
      <c r="AC158" s="49">
        <f t="shared" si="61"/>
        <v>0</v>
      </c>
      <c r="AD158" s="49">
        <f>AA158+T158+M158</f>
        <v>699000</v>
      </c>
      <c r="AE158" s="49"/>
      <c r="AF158" s="49"/>
      <c r="AG158" s="49"/>
      <c r="AH158" s="49"/>
      <c r="AI158" s="49"/>
      <c r="AJ158" s="49"/>
      <c r="AK158" s="49">
        <f>Z158+Y158+X158+W158+N158+AG158+AJ158+AI158+AH158</f>
        <v>698800</v>
      </c>
      <c r="AL158" s="49">
        <f>AK158/AD158*100</f>
        <v>99.971387696709584</v>
      </c>
      <c r="AM158" s="49"/>
      <c r="AN158" s="49"/>
      <c r="AO158" s="49"/>
      <c r="AP158" s="42"/>
      <c r="AQ158" s="49">
        <f>AK158+AM158+AN158+AO158+AP158</f>
        <v>698800</v>
      </c>
      <c r="AR158" s="49">
        <f>AQ158/AB158*100</f>
        <v>99.971387696709584</v>
      </c>
      <c r="AS158" s="49">
        <f>AB158-AQ158</f>
        <v>200</v>
      </c>
      <c r="AT158" s="49">
        <v>3091500</v>
      </c>
      <c r="AU158" s="49">
        <f>AT158+U158</f>
        <v>3790500</v>
      </c>
      <c r="AV158" s="49">
        <f>AK158</f>
        <v>698800</v>
      </c>
      <c r="AW158" s="72">
        <f>AV158/AU158*100</f>
        <v>18.435562590687244</v>
      </c>
      <c r="AX158" s="49">
        <f>AU158-AV158</f>
        <v>3091700</v>
      </c>
      <c r="AY158" s="49">
        <f>AS158/AB158*100</f>
        <v>2.8612303290414882E-2</v>
      </c>
      <c r="AZ158" s="73">
        <f t="shared" si="44"/>
        <v>698800</v>
      </c>
    </row>
    <row r="159" spans="1:52" ht="20.100000000000001" hidden="1" customHeight="1">
      <c r="A159" s="68"/>
      <c r="B159" s="69"/>
      <c r="C159" s="240" t="s">
        <v>323</v>
      </c>
      <c r="D159" s="240"/>
      <c r="E159" s="241"/>
      <c r="F159" s="70"/>
      <c r="G159" s="71"/>
      <c r="H159" s="71"/>
      <c r="I159" s="71"/>
      <c r="J159" s="240" t="s">
        <v>149</v>
      </c>
      <c r="K159" s="241"/>
      <c r="L159" s="49">
        <v>190000</v>
      </c>
      <c r="M159" s="49">
        <v>190000</v>
      </c>
      <c r="N159" s="49">
        <v>190000</v>
      </c>
      <c r="O159" s="49"/>
      <c r="P159" s="49"/>
      <c r="Q159" s="49">
        <f>SUM(N159:P159)</f>
        <v>190000</v>
      </c>
      <c r="R159" s="72">
        <f>Q159/M159*100</f>
        <v>100</v>
      </c>
      <c r="S159" s="49">
        <f>M159-Q159</f>
        <v>0</v>
      </c>
      <c r="T159" s="49">
        <v>0</v>
      </c>
      <c r="U159" s="49">
        <f>T159+M159</f>
        <v>190000</v>
      </c>
      <c r="V159" s="49">
        <f>T159+S159</f>
        <v>0</v>
      </c>
      <c r="W159" s="49"/>
      <c r="X159" s="49"/>
      <c r="Y159" s="49"/>
      <c r="Z159" s="49"/>
      <c r="AA159" s="49">
        <v>0</v>
      </c>
      <c r="AB159" s="49">
        <v>190000</v>
      </c>
      <c r="AC159" s="49">
        <f t="shared" si="61"/>
        <v>0</v>
      </c>
      <c r="AD159" s="49">
        <f>AA159+T159+M159</f>
        <v>190000</v>
      </c>
      <c r="AE159" s="49"/>
      <c r="AF159" s="49"/>
      <c r="AG159" s="49"/>
      <c r="AH159" s="49"/>
      <c r="AI159" s="49"/>
      <c r="AJ159" s="49"/>
      <c r="AK159" s="49">
        <f>Z159+Y159+X159+W159+N159+AG159+AJ159+AI159+AH159</f>
        <v>190000</v>
      </c>
      <c r="AL159" s="49">
        <f>AK159/AD159*100</f>
        <v>100</v>
      </c>
      <c r="AM159" s="49"/>
      <c r="AN159" s="49"/>
      <c r="AO159" s="49"/>
      <c r="AP159" s="42"/>
      <c r="AQ159" s="49">
        <f>AK159+AM159+AN159+AO159+AP159</f>
        <v>190000</v>
      </c>
      <c r="AR159" s="49">
        <f>AQ159/AB159*100</f>
        <v>100</v>
      </c>
      <c r="AS159" s="49">
        <f>AB159-AQ159</f>
        <v>0</v>
      </c>
      <c r="AT159" s="49">
        <v>3091500</v>
      </c>
      <c r="AU159" s="49">
        <f>AT159+U159</f>
        <v>3281500</v>
      </c>
      <c r="AV159" s="49">
        <f>AK159</f>
        <v>190000</v>
      </c>
      <c r="AW159" s="72">
        <f>AV159/AU159*100</f>
        <v>5.7900350449489562</v>
      </c>
      <c r="AX159" s="49">
        <f>AU159-AV159</f>
        <v>3091500</v>
      </c>
      <c r="AY159" s="49">
        <f>AS159/AB159*100</f>
        <v>0</v>
      </c>
      <c r="AZ159" s="73">
        <f t="shared" si="44"/>
        <v>190000</v>
      </c>
    </row>
    <row r="160" spans="1:52" ht="20.100000000000001" hidden="1" customHeight="1">
      <c r="A160" s="68"/>
      <c r="B160" s="69"/>
      <c r="C160" s="240" t="s">
        <v>324</v>
      </c>
      <c r="D160" s="240"/>
      <c r="E160" s="241"/>
      <c r="F160" s="70"/>
      <c r="G160" s="71"/>
      <c r="H160" s="71"/>
      <c r="I160" s="240" t="s">
        <v>151</v>
      </c>
      <c r="J160" s="240"/>
      <c r="K160" s="241"/>
      <c r="L160" s="49"/>
      <c r="M160" s="49"/>
      <c r="N160" s="49"/>
      <c r="O160" s="49"/>
      <c r="P160" s="49"/>
      <c r="Q160" s="49"/>
      <c r="R160" s="72"/>
      <c r="S160" s="49"/>
      <c r="T160" s="49"/>
      <c r="U160" s="49"/>
      <c r="V160" s="49"/>
      <c r="W160" s="49"/>
      <c r="X160" s="49"/>
      <c r="Y160" s="49"/>
      <c r="Z160" s="49"/>
      <c r="AA160" s="49"/>
      <c r="AB160" s="49"/>
      <c r="AC160" s="49">
        <f t="shared" si="61"/>
        <v>0</v>
      </c>
      <c r="AD160" s="49"/>
      <c r="AE160" s="49"/>
      <c r="AF160" s="49"/>
      <c r="AG160" s="49"/>
      <c r="AH160" s="49"/>
      <c r="AI160" s="49"/>
      <c r="AJ160" s="49"/>
      <c r="AK160" s="49"/>
      <c r="AL160" s="49"/>
      <c r="AM160" s="49"/>
      <c r="AN160" s="49"/>
      <c r="AO160" s="49"/>
      <c r="AP160" s="42"/>
      <c r="AQ160" s="49"/>
      <c r="AR160" s="49"/>
      <c r="AS160" s="49"/>
      <c r="AT160" s="49"/>
      <c r="AU160" s="49"/>
      <c r="AV160" s="49"/>
      <c r="AW160" s="49"/>
      <c r="AX160" s="49"/>
      <c r="AY160" s="49"/>
      <c r="AZ160" s="73">
        <f t="shared" si="44"/>
        <v>0</v>
      </c>
    </row>
    <row r="161" spans="1:52" ht="20.100000000000001" hidden="1" customHeight="1">
      <c r="A161" s="68"/>
      <c r="B161" s="69"/>
      <c r="C161" s="240" t="s">
        <v>325</v>
      </c>
      <c r="D161" s="240"/>
      <c r="E161" s="241"/>
      <c r="F161" s="70"/>
      <c r="G161" s="71"/>
      <c r="H161" s="71"/>
      <c r="I161" s="71"/>
      <c r="J161" s="240" t="s">
        <v>155</v>
      </c>
      <c r="K161" s="241"/>
      <c r="L161" s="49">
        <v>551000</v>
      </c>
      <c r="M161" s="49">
        <v>0</v>
      </c>
      <c r="N161" s="49"/>
      <c r="O161" s="49"/>
      <c r="P161" s="49"/>
      <c r="Q161" s="49">
        <f>SUM(N161:P161)</f>
        <v>0</v>
      </c>
      <c r="R161" s="72"/>
      <c r="S161" s="49">
        <f>M161-Q161</f>
        <v>0</v>
      </c>
      <c r="T161" s="49">
        <v>0</v>
      </c>
      <c r="U161" s="49">
        <f>T161+M161</f>
        <v>0</v>
      </c>
      <c r="V161" s="49">
        <f>T161+S161</f>
        <v>0</v>
      </c>
      <c r="W161" s="49"/>
      <c r="X161" s="49"/>
      <c r="Y161" s="49"/>
      <c r="Z161" s="49"/>
      <c r="AA161" s="49">
        <v>551000</v>
      </c>
      <c r="AB161" s="49">
        <v>551000</v>
      </c>
      <c r="AC161" s="49">
        <f t="shared" si="61"/>
        <v>0</v>
      </c>
      <c r="AD161" s="49">
        <f>AA161+T161+M161</f>
        <v>551000</v>
      </c>
      <c r="AE161" s="49"/>
      <c r="AF161" s="49"/>
      <c r="AG161" s="49"/>
      <c r="AH161" s="49"/>
      <c r="AI161" s="49"/>
      <c r="AJ161" s="49">
        <v>550900</v>
      </c>
      <c r="AK161" s="49">
        <f>Z161+Y161+X161+W161+N161+AG161+AJ161+AI161+AH161</f>
        <v>550900</v>
      </c>
      <c r="AL161" s="49">
        <f>AK161/AD161*100</f>
        <v>99.981851179673313</v>
      </c>
      <c r="AM161" s="49"/>
      <c r="AN161" s="49"/>
      <c r="AO161" s="49"/>
      <c r="AP161" s="42"/>
      <c r="AQ161" s="49">
        <f>AK161+AM161+AN161+AO161+AP161</f>
        <v>550900</v>
      </c>
      <c r="AR161" s="49">
        <f>AQ161/AB161*100</f>
        <v>99.981851179673313</v>
      </c>
      <c r="AS161" s="49">
        <f>AB161-AQ161</f>
        <v>100</v>
      </c>
      <c r="AT161" s="49">
        <v>3091500</v>
      </c>
      <c r="AU161" s="49">
        <f>AT161+U161</f>
        <v>3091500</v>
      </c>
      <c r="AV161" s="49">
        <f>AK161</f>
        <v>550900</v>
      </c>
      <c r="AW161" s="72">
        <f>AV161/AU161*100</f>
        <v>17.81982856218664</v>
      </c>
      <c r="AX161" s="49">
        <f>AU161-AV161</f>
        <v>2540600</v>
      </c>
      <c r="AY161" s="49">
        <f>AS161/AB161*100</f>
        <v>1.8148820326678763E-2</v>
      </c>
      <c r="AZ161" s="73">
        <f t="shared" si="44"/>
        <v>550900</v>
      </c>
    </row>
    <row r="162" spans="1:52" ht="20.100000000000001" hidden="1" customHeight="1">
      <c r="A162" s="68"/>
      <c r="B162" s="69"/>
      <c r="C162" s="240" t="s">
        <v>326</v>
      </c>
      <c r="D162" s="240"/>
      <c r="E162" s="241"/>
      <c r="F162" s="70"/>
      <c r="G162" s="71"/>
      <c r="H162" s="71"/>
      <c r="I162" s="71"/>
      <c r="J162" s="240" t="s">
        <v>309</v>
      </c>
      <c r="K162" s="241"/>
      <c r="L162" s="49">
        <v>100000</v>
      </c>
      <c r="M162" s="49">
        <v>0</v>
      </c>
      <c r="N162" s="49"/>
      <c r="O162" s="49"/>
      <c r="P162" s="49"/>
      <c r="Q162" s="49">
        <f>SUM(N162:P162)</f>
        <v>0</v>
      </c>
      <c r="R162" s="72"/>
      <c r="S162" s="49">
        <f>M162-Q162</f>
        <v>0</v>
      </c>
      <c r="T162" s="49">
        <v>0</v>
      </c>
      <c r="U162" s="49">
        <f>T162+M162</f>
        <v>0</v>
      </c>
      <c r="V162" s="49">
        <f>T162+S162</f>
        <v>0</v>
      </c>
      <c r="W162" s="49"/>
      <c r="X162" s="49"/>
      <c r="Y162" s="49"/>
      <c r="Z162" s="49"/>
      <c r="AA162" s="49">
        <v>100000</v>
      </c>
      <c r="AB162" s="49">
        <v>100000</v>
      </c>
      <c r="AC162" s="49">
        <f t="shared" si="61"/>
        <v>0</v>
      </c>
      <c r="AD162" s="49">
        <f>AA162+T162+M162</f>
        <v>100000</v>
      </c>
      <c r="AE162" s="49"/>
      <c r="AF162" s="49"/>
      <c r="AG162" s="49"/>
      <c r="AH162" s="49"/>
      <c r="AI162" s="49"/>
      <c r="AJ162" s="49">
        <v>100000</v>
      </c>
      <c r="AK162" s="49">
        <f>Z162+Y162+X162+W162+N162+AG162+AJ162+AI162+AH162</f>
        <v>100000</v>
      </c>
      <c r="AL162" s="49">
        <f>AK162/AD162*100</f>
        <v>100</v>
      </c>
      <c r="AM162" s="49"/>
      <c r="AN162" s="49"/>
      <c r="AO162" s="49"/>
      <c r="AP162" s="42"/>
      <c r="AQ162" s="49">
        <f>AK162+AM162+AN162+AO162+AP162</f>
        <v>100000</v>
      </c>
      <c r="AR162" s="49">
        <f>AQ162/AB162*100</f>
        <v>100</v>
      </c>
      <c r="AS162" s="49">
        <f>AB162-AQ162</f>
        <v>0</v>
      </c>
      <c r="AT162" s="49">
        <v>3091500</v>
      </c>
      <c r="AU162" s="49">
        <f>AT162+U162</f>
        <v>3091500</v>
      </c>
      <c r="AV162" s="49">
        <f>AK162</f>
        <v>100000</v>
      </c>
      <c r="AW162" s="72">
        <f>AV162/AU162*100</f>
        <v>3.2346757237586932</v>
      </c>
      <c r="AX162" s="49">
        <f>AU162-AV162</f>
        <v>2991500</v>
      </c>
      <c r="AY162" s="49">
        <f>AS162/AB162*100</f>
        <v>0</v>
      </c>
      <c r="AZ162" s="73">
        <f t="shared" si="44"/>
        <v>100000</v>
      </c>
    </row>
    <row r="163" spans="1:52" ht="20.100000000000001" hidden="1" customHeight="1">
      <c r="A163" s="68"/>
      <c r="B163" s="69"/>
      <c r="C163" s="240" t="s">
        <v>327</v>
      </c>
      <c r="D163" s="240"/>
      <c r="E163" s="241"/>
      <c r="F163" s="70"/>
      <c r="G163" s="71"/>
      <c r="H163" s="71"/>
      <c r="I163" s="240" t="s">
        <v>328</v>
      </c>
      <c r="J163" s="240"/>
      <c r="K163" s="241"/>
      <c r="L163" s="49"/>
      <c r="M163" s="49"/>
      <c r="N163" s="49"/>
      <c r="O163" s="49"/>
      <c r="P163" s="49"/>
      <c r="Q163" s="49"/>
      <c r="R163" s="72"/>
      <c r="S163" s="49"/>
      <c r="T163" s="49"/>
      <c r="U163" s="49"/>
      <c r="V163" s="49"/>
      <c r="W163" s="49"/>
      <c r="X163" s="49"/>
      <c r="Y163" s="49"/>
      <c r="Z163" s="49"/>
      <c r="AA163" s="49"/>
      <c r="AB163" s="49"/>
      <c r="AC163" s="49">
        <f t="shared" si="61"/>
        <v>0</v>
      </c>
      <c r="AD163" s="49"/>
      <c r="AE163" s="49"/>
      <c r="AF163" s="49"/>
      <c r="AG163" s="49"/>
      <c r="AH163" s="49"/>
      <c r="AI163" s="49"/>
      <c r="AJ163" s="49"/>
      <c r="AK163" s="49"/>
      <c r="AL163" s="49"/>
      <c r="AM163" s="49"/>
      <c r="AN163" s="49"/>
      <c r="AO163" s="49"/>
      <c r="AP163" s="42"/>
      <c r="AQ163" s="49"/>
      <c r="AR163" s="49"/>
      <c r="AS163" s="49"/>
      <c r="AT163" s="49"/>
      <c r="AU163" s="49"/>
      <c r="AV163" s="49"/>
      <c r="AW163" s="49"/>
      <c r="AX163" s="49"/>
      <c r="AY163" s="49"/>
      <c r="AZ163" s="73">
        <f t="shared" si="44"/>
        <v>0</v>
      </c>
    </row>
    <row r="164" spans="1:52" ht="20.100000000000001" hidden="1" customHeight="1">
      <c r="A164" s="68"/>
      <c r="B164" s="69"/>
      <c r="C164" s="240" t="s">
        <v>329</v>
      </c>
      <c r="D164" s="240"/>
      <c r="E164" s="241"/>
      <c r="F164" s="70"/>
      <c r="G164" s="71"/>
      <c r="H164" s="71"/>
      <c r="I164" s="71"/>
      <c r="J164" s="240" t="s">
        <v>330</v>
      </c>
      <c r="K164" s="241"/>
      <c r="L164" s="49">
        <v>12000000</v>
      </c>
      <c r="M164" s="49">
        <v>0</v>
      </c>
      <c r="N164" s="49"/>
      <c r="O164" s="49"/>
      <c r="P164" s="49"/>
      <c r="Q164" s="49">
        <f>SUM(N164:P164)</f>
        <v>0</v>
      </c>
      <c r="R164" s="72"/>
      <c r="S164" s="49">
        <f>M164-Q164</f>
        <v>0</v>
      </c>
      <c r="T164" s="49">
        <v>3000000</v>
      </c>
      <c r="U164" s="49">
        <f>T164+M164</f>
        <v>3000000</v>
      </c>
      <c r="V164" s="49">
        <f>T164+S164</f>
        <v>3000000</v>
      </c>
      <c r="W164" s="49">
        <v>3000000</v>
      </c>
      <c r="X164" s="49"/>
      <c r="Y164" s="49"/>
      <c r="Z164" s="49"/>
      <c r="AA164" s="49">
        <v>6000000</v>
      </c>
      <c r="AB164" s="49">
        <v>12000000</v>
      </c>
      <c r="AC164" s="49">
        <f t="shared" si="61"/>
        <v>0</v>
      </c>
      <c r="AD164" s="49">
        <f>AA164+T164+M164</f>
        <v>9000000</v>
      </c>
      <c r="AE164" s="49"/>
      <c r="AF164" s="49"/>
      <c r="AG164" s="49">
        <v>2000000</v>
      </c>
      <c r="AH164" s="49"/>
      <c r="AI164" s="49"/>
      <c r="AJ164" s="49"/>
      <c r="AK164" s="49">
        <f>Z164+Y164+X164+W164+N164+AG164+AJ164+AI164+AH164</f>
        <v>5000000</v>
      </c>
      <c r="AL164" s="49">
        <f>AK164/AD164*100</f>
        <v>55.555555555555557</v>
      </c>
      <c r="AM164" s="49"/>
      <c r="AN164" s="49"/>
      <c r="AO164" s="49">
        <v>0</v>
      </c>
      <c r="AP164" s="42">
        <v>7000000</v>
      </c>
      <c r="AQ164" s="49">
        <f>AK164+AM164+AN164+AO164+AP164</f>
        <v>12000000</v>
      </c>
      <c r="AR164" s="49">
        <f>AQ164/AB164*100</f>
        <v>100</v>
      </c>
      <c r="AS164" s="49">
        <f>AB164-AQ164</f>
        <v>0</v>
      </c>
      <c r="AT164" s="49">
        <v>3091500</v>
      </c>
      <c r="AU164" s="49">
        <f>AT164+U164</f>
        <v>6091500</v>
      </c>
      <c r="AV164" s="49">
        <f>AK164</f>
        <v>5000000</v>
      </c>
      <c r="AW164" s="72">
        <f>AV164/AU164*100</f>
        <v>82.081589099564965</v>
      </c>
      <c r="AX164" s="49">
        <f>AU164-AV164</f>
        <v>1091500</v>
      </c>
      <c r="AY164" s="49">
        <f>AS164/AB164*100</f>
        <v>0</v>
      </c>
      <c r="AZ164" s="73">
        <f t="shared" ref="AZ164:AZ227" si="71">AQ164-AO164</f>
        <v>12000000</v>
      </c>
    </row>
    <row r="165" spans="1:52" ht="20.100000000000001" hidden="1" customHeight="1">
      <c r="A165" s="68"/>
      <c r="B165" s="69"/>
      <c r="C165" s="240" t="s">
        <v>331</v>
      </c>
      <c r="D165" s="240"/>
      <c r="E165" s="241"/>
      <c r="F165" s="70"/>
      <c r="G165" s="71"/>
      <c r="H165" s="71"/>
      <c r="I165" s="240" t="s">
        <v>157</v>
      </c>
      <c r="J165" s="240"/>
      <c r="K165" s="241"/>
      <c r="L165" s="49"/>
      <c r="M165" s="49"/>
      <c r="N165" s="49"/>
      <c r="O165" s="49"/>
      <c r="P165" s="49"/>
      <c r="Q165" s="49"/>
      <c r="R165" s="72"/>
      <c r="S165" s="49"/>
      <c r="T165" s="49"/>
      <c r="U165" s="49"/>
      <c r="V165" s="49"/>
      <c r="W165" s="49"/>
      <c r="X165" s="49"/>
      <c r="Y165" s="49"/>
      <c r="Z165" s="49"/>
      <c r="AA165" s="49"/>
      <c r="AB165" s="49"/>
      <c r="AC165" s="49">
        <f t="shared" si="61"/>
        <v>0</v>
      </c>
      <c r="AD165" s="49"/>
      <c r="AE165" s="49"/>
      <c r="AF165" s="49"/>
      <c r="AG165" s="49"/>
      <c r="AH165" s="49"/>
      <c r="AI165" s="49"/>
      <c r="AJ165" s="49"/>
      <c r="AK165" s="49"/>
      <c r="AL165" s="49"/>
      <c r="AM165" s="49"/>
      <c r="AN165" s="49"/>
      <c r="AO165" s="49"/>
      <c r="AP165" s="42"/>
      <c r="AQ165" s="49"/>
      <c r="AR165" s="49"/>
      <c r="AS165" s="49"/>
      <c r="AT165" s="49"/>
      <c r="AU165" s="49"/>
      <c r="AV165" s="49"/>
      <c r="AW165" s="49"/>
      <c r="AX165" s="49"/>
      <c r="AY165" s="49"/>
      <c r="AZ165" s="73">
        <f t="shared" si="71"/>
        <v>0</v>
      </c>
    </row>
    <row r="166" spans="1:52" ht="20.100000000000001" hidden="1" customHeight="1">
      <c r="A166" s="68"/>
      <c r="B166" s="69"/>
      <c r="C166" s="240" t="s">
        <v>332</v>
      </c>
      <c r="D166" s="240"/>
      <c r="E166" s="241"/>
      <c r="F166" s="70"/>
      <c r="G166" s="71"/>
      <c r="H166" s="71"/>
      <c r="I166" s="71"/>
      <c r="J166" s="240" t="s">
        <v>159</v>
      </c>
      <c r="K166" s="241"/>
      <c r="L166" s="49">
        <v>900000</v>
      </c>
      <c r="M166" s="49">
        <v>180000</v>
      </c>
      <c r="N166" s="49">
        <v>180000</v>
      </c>
      <c r="O166" s="49"/>
      <c r="P166" s="49"/>
      <c r="Q166" s="49">
        <f>SUM(N166:P166)</f>
        <v>180000</v>
      </c>
      <c r="R166" s="72">
        <f>Q166/M166*100</f>
        <v>100</v>
      </c>
      <c r="S166" s="49">
        <f>M166-Q166</f>
        <v>0</v>
      </c>
      <c r="T166" s="49">
        <v>180000</v>
      </c>
      <c r="U166" s="49">
        <f>T166+M166</f>
        <v>360000</v>
      </c>
      <c r="V166" s="49">
        <f>T166+S166</f>
        <v>180000</v>
      </c>
      <c r="W166" s="49"/>
      <c r="X166" s="49"/>
      <c r="Y166" s="49"/>
      <c r="Z166" s="49"/>
      <c r="AA166" s="49">
        <v>360000</v>
      </c>
      <c r="AB166" s="49">
        <v>900000</v>
      </c>
      <c r="AC166" s="49">
        <f t="shared" si="61"/>
        <v>0</v>
      </c>
      <c r="AD166" s="49">
        <f>AA166+T166+M166</f>
        <v>720000</v>
      </c>
      <c r="AE166" s="49"/>
      <c r="AF166" s="49"/>
      <c r="AG166" s="49">
        <f>180000+180000</f>
        <v>360000</v>
      </c>
      <c r="AH166" s="49"/>
      <c r="AI166" s="49"/>
      <c r="AJ166" s="49">
        <v>180000</v>
      </c>
      <c r="AK166" s="49">
        <f>Z166+Y166+X166+W166+N166+AG166+AJ166+AI166+AH166</f>
        <v>720000</v>
      </c>
      <c r="AL166" s="49">
        <f>AK166/AD166*100</f>
        <v>100</v>
      </c>
      <c r="AM166" s="48"/>
      <c r="AN166" s="49"/>
      <c r="AO166" s="49"/>
      <c r="AP166" s="42">
        <v>180000</v>
      </c>
      <c r="AQ166" s="49">
        <f>AK166+AM166+AN166+AO166+AP166</f>
        <v>900000</v>
      </c>
      <c r="AR166" s="49">
        <f>AQ166/AB166*100</f>
        <v>100</v>
      </c>
      <c r="AS166" s="49">
        <f>AB166-AQ166</f>
        <v>0</v>
      </c>
      <c r="AT166" s="49">
        <v>3091500</v>
      </c>
      <c r="AU166" s="49">
        <f>AT166+U166</f>
        <v>3451500</v>
      </c>
      <c r="AV166" s="49">
        <f>AK166</f>
        <v>720000</v>
      </c>
      <c r="AW166" s="72">
        <f>AV166/AU166*100</f>
        <v>20.860495436766623</v>
      </c>
      <c r="AX166" s="49">
        <f>AU166-AV166</f>
        <v>2731500</v>
      </c>
      <c r="AY166" s="49">
        <f>AS166/AB166*100</f>
        <v>0</v>
      </c>
      <c r="AZ166" s="73">
        <f t="shared" si="71"/>
        <v>900000</v>
      </c>
    </row>
    <row r="167" spans="1:52" ht="20.100000000000001" hidden="1" customHeight="1">
      <c r="A167" s="68"/>
      <c r="B167" s="69"/>
      <c r="C167" s="240" t="s">
        <v>333</v>
      </c>
      <c r="D167" s="240"/>
      <c r="E167" s="241"/>
      <c r="F167" s="70"/>
      <c r="G167" s="71"/>
      <c r="H167" s="71"/>
      <c r="I167" s="71"/>
      <c r="J167" s="240" t="s">
        <v>207</v>
      </c>
      <c r="K167" s="241"/>
      <c r="L167" s="49">
        <v>85560000</v>
      </c>
      <c r="M167" s="49">
        <v>0</v>
      </c>
      <c r="N167" s="49"/>
      <c r="O167" s="49"/>
      <c r="P167" s="49"/>
      <c r="Q167" s="49">
        <f>SUM(N167:P167)</f>
        <v>0</v>
      </c>
      <c r="R167" s="72"/>
      <c r="S167" s="49">
        <f>M167-Q167</f>
        <v>0</v>
      </c>
      <c r="T167" s="49">
        <v>19057000</v>
      </c>
      <c r="U167" s="49">
        <f>T167+M167</f>
        <v>19057000</v>
      </c>
      <c r="V167" s="49">
        <f>T167+S167</f>
        <v>19057000</v>
      </c>
      <c r="W167" s="49"/>
      <c r="X167" s="49">
        <v>12845100</v>
      </c>
      <c r="Y167" s="49"/>
      <c r="Z167" s="49"/>
      <c r="AA167" s="49">
        <v>36723000</v>
      </c>
      <c r="AB167" s="49">
        <v>85560000</v>
      </c>
      <c r="AC167" s="49">
        <f t="shared" si="61"/>
        <v>0</v>
      </c>
      <c r="AD167" s="49">
        <f>AA167+T167+M167</f>
        <v>55780000</v>
      </c>
      <c r="AE167" s="49">
        <v>0</v>
      </c>
      <c r="AF167" s="49">
        <v>0</v>
      </c>
      <c r="AG167" s="49">
        <v>9695000</v>
      </c>
      <c r="AH167" s="49"/>
      <c r="AI167" s="49"/>
      <c r="AJ167" s="49"/>
      <c r="AK167" s="49">
        <f>Z167+Y167+X167+W167+N167+AG167+AJ167+AI167+AH167</f>
        <v>22540100</v>
      </c>
      <c r="AL167" s="49">
        <f>AK167/AD167*100</f>
        <v>40.408927931158125</v>
      </c>
      <c r="AM167" s="48">
        <f>17241200+18744200</f>
        <v>35985400</v>
      </c>
      <c r="AN167" s="49"/>
      <c r="AO167" s="49"/>
      <c r="AP167" s="42">
        <v>27034500</v>
      </c>
      <c r="AQ167" s="49">
        <f>AK167+AM167+AN167+AO167+AP167</f>
        <v>85560000</v>
      </c>
      <c r="AR167" s="49">
        <f>AQ167/AB167*100</f>
        <v>100</v>
      </c>
      <c r="AS167" s="49">
        <f>AB167-AQ167</f>
        <v>0</v>
      </c>
      <c r="AT167" s="49">
        <v>3091500</v>
      </c>
      <c r="AU167" s="49">
        <f>AT167+U167</f>
        <v>22148500</v>
      </c>
      <c r="AV167" s="49">
        <f>AK167</f>
        <v>22540100</v>
      </c>
      <c r="AW167" s="72">
        <f>AV167/AU167*100</f>
        <v>101.76806555748696</v>
      </c>
      <c r="AX167" s="49">
        <f>AU167-AV167</f>
        <v>-391600</v>
      </c>
      <c r="AY167" s="49">
        <f>AS167/AB167*100</f>
        <v>0</v>
      </c>
      <c r="AZ167" s="73">
        <f t="shared" si="71"/>
        <v>85560000</v>
      </c>
    </row>
    <row r="168" spans="1:52" ht="20.100000000000001" customHeight="1">
      <c r="A168" s="62">
        <v>14</v>
      </c>
      <c r="B168" s="63"/>
      <c r="C168" s="242" t="s">
        <v>334</v>
      </c>
      <c r="D168" s="242"/>
      <c r="E168" s="243"/>
      <c r="F168" s="64"/>
      <c r="G168" s="244" t="s">
        <v>335</v>
      </c>
      <c r="H168" s="244"/>
      <c r="I168" s="244"/>
      <c r="J168" s="244"/>
      <c r="K168" s="245"/>
      <c r="L168" s="65">
        <f>SUM(L171:L191)</f>
        <v>94000000</v>
      </c>
      <c r="M168" s="65">
        <f>SUM(M171:M191)</f>
        <v>1464500</v>
      </c>
      <c r="N168" s="65">
        <f>SUM(N171:N191)</f>
        <v>1420500</v>
      </c>
      <c r="O168" s="65">
        <f>SUM(O171:O191)</f>
        <v>0</v>
      </c>
      <c r="P168" s="65">
        <f>SUM(P171:P191)</f>
        <v>0</v>
      </c>
      <c r="Q168" s="65">
        <f>SUM(N168:P168)</f>
        <v>1420500</v>
      </c>
      <c r="R168" s="66">
        <f>Q168/M168*100</f>
        <v>96.995561625128033</v>
      </c>
      <c r="S168" s="65">
        <f>M168-Q168</f>
        <v>44000</v>
      </c>
      <c r="T168" s="65">
        <f>SUM(T171:T191)</f>
        <v>2459000</v>
      </c>
      <c r="U168" s="65">
        <f>T168+M168</f>
        <v>3923500</v>
      </c>
      <c r="V168" s="65">
        <f>T168+S168</f>
        <v>2503000</v>
      </c>
      <c r="W168" s="65">
        <f>SUM(W171:W191)</f>
        <v>1675000</v>
      </c>
      <c r="X168" s="65">
        <f>SUM(X171:X191)</f>
        <v>0</v>
      </c>
      <c r="Y168" s="65">
        <f>SUM(Y171:Y191)</f>
        <v>0</v>
      </c>
      <c r="Z168" s="65"/>
      <c r="AA168" s="65">
        <f>SUM(AA171:AA191)</f>
        <v>6903000</v>
      </c>
      <c r="AB168" s="65">
        <f>SUM(AB171:AB191)</f>
        <v>94000000</v>
      </c>
      <c r="AC168" s="65">
        <f t="shared" si="61"/>
        <v>0</v>
      </c>
      <c r="AD168" s="65">
        <f>AA168+T168+M168</f>
        <v>10826500</v>
      </c>
      <c r="AE168" s="65">
        <f t="shared" ref="AE168:AK168" si="72">SUM(AE171:AE191)</f>
        <v>0</v>
      </c>
      <c r="AF168" s="65">
        <f t="shared" si="72"/>
        <v>0</v>
      </c>
      <c r="AG168" s="65">
        <f t="shared" si="72"/>
        <v>4230000</v>
      </c>
      <c r="AH168" s="65">
        <f t="shared" si="72"/>
        <v>0</v>
      </c>
      <c r="AI168" s="65">
        <f t="shared" si="72"/>
        <v>0</v>
      </c>
      <c r="AJ168" s="65"/>
      <c r="AK168" s="65">
        <f t="shared" si="72"/>
        <v>7325500</v>
      </c>
      <c r="AL168" s="65">
        <f>AK168/AB168*100</f>
        <v>7.7930851063829785</v>
      </c>
      <c r="AM168" s="65">
        <f>SUM(AM171:AM191)</f>
        <v>0</v>
      </c>
      <c r="AN168" s="65">
        <f>SUM(AN171:AN191)</f>
        <v>13109425</v>
      </c>
      <c r="AO168" s="65">
        <f>SUM(AO171:AO191)</f>
        <v>0</v>
      </c>
      <c r="AP168" s="42">
        <f>SUM(AP171:AP191)</f>
        <v>73525000</v>
      </c>
      <c r="AQ168" s="65">
        <f>AK168+AM168+AN168+AO168+AP168</f>
        <v>93959925</v>
      </c>
      <c r="AR168" s="65">
        <f>AQ168/AB168*100</f>
        <v>99.957367021276596</v>
      </c>
      <c r="AS168" s="65">
        <f>AB168-AQ168</f>
        <v>40075</v>
      </c>
      <c r="AT168" s="65">
        <f>SUM(AT171:AT177)</f>
        <v>12366000</v>
      </c>
      <c r="AU168" s="65">
        <f>AT168+U168</f>
        <v>16289500</v>
      </c>
      <c r="AV168" s="65">
        <f>AK168</f>
        <v>7325500</v>
      </c>
      <c r="AW168" s="66">
        <f>AV168/AU168*100</f>
        <v>44.970686638632245</v>
      </c>
      <c r="AX168" s="65">
        <f>AU168-AV168</f>
        <v>8964000</v>
      </c>
      <c r="AY168" s="65">
        <f>AS168/AB168*100</f>
        <v>4.2632978723404255E-2</v>
      </c>
      <c r="AZ168" s="67">
        <f>AQ168-AN168</f>
        <v>80850500</v>
      </c>
    </row>
    <row r="169" spans="1:52" ht="20.100000000000001" hidden="1" customHeight="1">
      <c r="A169" s="68"/>
      <c r="B169" s="69"/>
      <c r="C169" s="240" t="s">
        <v>336</v>
      </c>
      <c r="D169" s="240"/>
      <c r="E169" s="241"/>
      <c r="F169" s="70"/>
      <c r="G169" s="71"/>
      <c r="H169" s="240" t="s">
        <v>10</v>
      </c>
      <c r="I169" s="240"/>
      <c r="J169" s="240"/>
      <c r="K169" s="241"/>
      <c r="L169" s="49"/>
      <c r="M169" s="49"/>
      <c r="N169" s="49"/>
      <c r="O169" s="49"/>
      <c r="P169" s="49"/>
      <c r="Q169" s="49"/>
      <c r="R169" s="72"/>
      <c r="S169" s="49"/>
      <c r="T169" s="49"/>
      <c r="U169" s="49"/>
      <c r="V169" s="49"/>
      <c r="W169" s="49"/>
      <c r="X169" s="49"/>
      <c r="Y169" s="49"/>
      <c r="Z169" s="49"/>
      <c r="AA169" s="49"/>
      <c r="AB169" s="49"/>
      <c r="AC169" s="49">
        <f t="shared" si="61"/>
        <v>0</v>
      </c>
      <c r="AD169" s="49"/>
      <c r="AE169" s="49"/>
      <c r="AF169" s="49"/>
      <c r="AG169" s="49"/>
      <c r="AH169" s="49"/>
      <c r="AI169" s="49"/>
      <c r="AJ169" s="72" t="s">
        <v>337</v>
      </c>
      <c r="AK169" s="49"/>
      <c r="AL169" s="49"/>
      <c r="AM169" s="49">
        <v>83462725</v>
      </c>
      <c r="AN169" s="49"/>
      <c r="AO169" s="49"/>
      <c r="AP169" s="42"/>
      <c r="AQ169" s="49"/>
      <c r="AR169" s="49"/>
      <c r="AS169" s="49"/>
      <c r="AT169" s="49"/>
      <c r="AU169" s="49"/>
      <c r="AV169" s="49"/>
      <c r="AW169" s="49"/>
      <c r="AX169" s="49"/>
      <c r="AY169" s="49"/>
      <c r="AZ169" s="73">
        <f t="shared" si="71"/>
        <v>0</v>
      </c>
    </row>
    <row r="170" spans="1:52" ht="20.100000000000001" hidden="1" customHeight="1">
      <c r="A170" s="68"/>
      <c r="B170" s="69"/>
      <c r="C170" s="240" t="s">
        <v>338</v>
      </c>
      <c r="D170" s="240"/>
      <c r="E170" s="241"/>
      <c r="F170" s="70"/>
      <c r="G170" s="71"/>
      <c r="H170" s="71"/>
      <c r="I170" s="240" t="s">
        <v>177</v>
      </c>
      <c r="J170" s="240"/>
      <c r="K170" s="241"/>
      <c r="L170" s="49"/>
      <c r="M170" s="49"/>
      <c r="N170" s="49"/>
      <c r="O170" s="49"/>
      <c r="P170" s="49"/>
      <c r="Q170" s="49"/>
      <c r="R170" s="72"/>
      <c r="S170" s="49"/>
      <c r="T170" s="49"/>
      <c r="U170" s="49"/>
      <c r="V170" s="49"/>
      <c r="W170" s="49"/>
      <c r="X170" s="49"/>
      <c r="Y170" s="49"/>
      <c r="Z170" s="49"/>
      <c r="AA170" s="49"/>
      <c r="AB170" s="49"/>
      <c r="AC170" s="49">
        <f t="shared" si="61"/>
        <v>0</v>
      </c>
      <c r="AD170" s="49"/>
      <c r="AE170" s="49"/>
      <c r="AF170" s="49"/>
      <c r="AG170" s="49"/>
      <c r="AH170" s="49"/>
      <c r="AI170" s="49"/>
      <c r="AJ170" s="49"/>
      <c r="AK170" s="49"/>
      <c r="AL170" s="49"/>
      <c r="AM170" s="49">
        <f>AM169-AN168</f>
        <v>70353300</v>
      </c>
      <c r="AN170" s="49"/>
      <c r="AO170" s="49"/>
      <c r="AP170" s="42"/>
      <c r="AQ170" s="49"/>
      <c r="AR170" s="49"/>
      <c r="AS170" s="49"/>
      <c r="AT170" s="49"/>
      <c r="AU170" s="49"/>
      <c r="AV170" s="49"/>
      <c r="AW170" s="49"/>
      <c r="AX170" s="49"/>
      <c r="AY170" s="49"/>
      <c r="AZ170" s="73">
        <f t="shared" si="71"/>
        <v>0</v>
      </c>
    </row>
    <row r="171" spans="1:52" ht="20.100000000000001" hidden="1" customHeight="1">
      <c r="A171" s="68"/>
      <c r="B171" s="69"/>
      <c r="C171" s="240" t="s">
        <v>339</v>
      </c>
      <c r="D171" s="240"/>
      <c r="E171" s="241"/>
      <c r="F171" s="70"/>
      <c r="G171" s="71"/>
      <c r="H171" s="71"/>
      <c r="I171" s="71"/>
      <c r="J171" s="240" t="s">
        <v>283</v>
      </c>
      <c r="K171" s="241"/>
      <c r="L171" s="49">
        <v>8497500</v>
      </c>
      <c r="M171" s="49">
        <v>0</v>
      </c>
      <c r="N171" s="49"/>
      <c r="O171" s="49"/>
      <c r="P171" s="49"/>
      <c r="Q171" s="49">
        <f>SUM(N171:P171)</f>
        <v>0</v>
      </c>
      <c r="R171" s="72"/>
      <c r="S171" s="49">
        <f>M171-Q171</f>
        <v>0</v>
      </c>
      <c r="T171" s="49">
        <v>0</v>
      </c>
      <c r="U171" s="49">
        <f>T171+M171</f>
        <v>0</v>
      </c>
      <c r="V171" s="49">
        <f>T171+S171</f>
        <v>0</v>
      </c>
      <c r="W171" s="49"/>
      <c r="X171" s="49"/>
      <c r="Y171" s="49"/>
      <c r="Z171" s="49"/>
      <c r="AA171" s="49">
        <v>0</v>
      </c>
      <c r="AB171" s="49">
        <v>8497500</v>
      </c>
      <c r="AC171" s="49">
        <f t="shared" si="61"/>
        <v>0</v>
      </c>
      <c r="AD171" s="49">
        <f>AA171+T171+M171</f>
        <v>0</v>
      </c>
      <c r="AE171" s="49"/>
      <c r="AF171" s="49"/>
      <c r="AG171" s="49"/>
      <c r="AH171" s="49"/>
      <c r="AI171" s="49"/>
      <c r="AJ171" s="49"/>
      <c r="AK171" s="49">
        <f>Z171+Y171+X171+W171+N171+AG171+AJ171+AI171+AH171</f>
        <v>0</v>
      </c>
      <c r="AL171" s="49">
        <f>AK171/AB171*100</f>
        <v>0</v>
      </c>
      <c r="AM171" s="49"/>
      <c r="AN171" s="49">
        <v>5650000</v>
      </c>
      <c r="AO171" s="49"/>
      <c r="AP171" s="42">
        <v>2847500</v>
      </c>
      <c r="AQ171" s="49">
        <f>AK171+AM171+AN171+AO171+AP171</f>
        <v>8497500</v>
      </c>
      <c r="AR171" s="49">
        <f>AQ171/AB171*100</f>
        <v>100</v>
      </c>
      <c r="AS171" s="49">
        <f>AB171-AQ171</f>
        <v>0</v>
      </c>
      <c r="AT171" s="49">
        <v>3091500</v>
      </c>
      <c r="AU171" s="49">
        <f>AT171+U171</f>
        <v>3091500</v>
      </c>
      <c r="AV171" s="49">
        <f>AK171</f>
        <v>0</v>
      </c>
      <c r="AW171" s="72">
        <f>AV171/AU171*100</f>
        <v>0</v>
      </c>
      <c r="AX171" s="49">
        <f>AU171-AV171</f>
        <v>3091500</v>
      </c>
      <c r="AY171" s="49">
        <f>AS171/AB171*100</f>
        <v>0</v>
      </c>
      <c r="AZ171" s="73">
        <f t="shared" si="71"/>
        <v>8497500</v>
      </c>
    </row>
    <row r="172" spans="1:52" ht="20.100000000000001" hidden="1" customHeight="1">
      <c r="A172" s="68"/>
      <c r="B172" s="69"/>
      <c r="C172" s="240" t="s">
        <v>340</v>
      </c>
      <c r="D172" s="240"/>
      <c r="E172" s="241"/>
      <c r="F172" s="70"/>
      <c r="G172" s="71"/>
      <c r="H172" s="71"/>
      <c r="I172" s="240" t="s">
        <v>341</v>
      </c>
      <c r="J172" s="240"/>
      <c r="K172" s="241"/>
      <c r="L172" s="49"/>
      <c r="M172" s="49"/>
      <c r="N172" s="49"/>
      <c r="O172" s="49"/>
      <c r="P172" s="49"/>
      <c r="Q172" s="49"/>
      <c r="R172" s="72"/>
      <c r="S172" s="49"/>
      <c r="T172" s="49"/>
      <c r="U172" s="49"/>
      <c r="V172" s="49"/>
      <c r="W172" s="49"/>
      <c r="X172" s="49"/>
      <c r="Y172" s="49"/>
      <c r="Z172" s="49"/>
      <c r="AA172" s="49"/>
      <c r="AB172" s="49"/>
      <c r="AC172" s="49">
        <f t="shared" si="61"/>
        <v>0</v>
      </c>
      <c r="AD172" s="49"/>
      <c r="AE172" s="49"/>
      <c r="AF172" s="49"/>
      <c r="AG172" s="49"/>
      <c r="AH172" s="49"/>
      <c r="AI172" s="49"/>
      <c r="AJ172" s="49"/>
      <c r="AK172" s="49"/>
      <c r="AL172" s="49"/>
      <c r="AM172" s="49"/>
      <c r="AN172" s="49"/>
      <c r="AO172" s="49"/>
      <c r="AP172" s="42"/>
      <c r="AQ172" s="49"/>
      <c r="AR172" s="49"/>
      <c r="AS172" s="49"/>
      <c r="AT172" s="49"/>
      <c r="AU172" s="49"/>
      <c r="AV172" s="49"/>
      <c r="AW172" s="49"/>
      <c r="AX172" s="49"/>
      <c r="AY172" s="49"/>
      <c r="AZ172" s="73">
        <f t="shared" si="71"/>
        <v>0</v>
      </c>
    </row>
    <row r="173" spans="1:52" ht="20.100000000000001" hidden="1" customHeight="1">
      <c r="A173" s="68"/>
      <c r="B173" s="69"/>
      <c r="C173" s="240" t="s">
        <v>342</v>
      </c>
      <c r="D173" s="240"/>
      <c r="E173" s="241"/>
      <c r="F173" s="70"/>
      <c r="G173" s="71"/>
      <c r="H173" s="71"/>
      <c r="I173" s="71"/>
      <c r="J173" s="240" t="s">
        <v>283</v>
      </c>
      <c r="K173" s="241"/>
      <c r="L173" s="49">
        <v>2550000</v>
      </c>
      <c r="M173" s="49">
        <v>0</v>
      </c>
      <c r="N173" s="49"/>
      <c r="O173" s="49"/>
      <c r="P173" s="49"/>
      <c r="Q173" s="49">
        <f>SUM(N173:P173)</f>
        <v>0</v>
      </c>
      <c r="R173" s="72"/>
      <c r="S173" s="49">
        <f>M173-Q173</f>
        <v>0</v>
      </c>
      <c r="T173" s="49">
        <v>0</v>
      </c>
      <c r="U173" s="49">
        <f>T173+M173</f>
        <v>0</v>
      </c>
      <c r="V173" s="49">
        <f>T173+S173</f>
        <v>0</v>
      </c>
      <c r="W173" s="49"/>
      <c r="X173" s="49"/>
      <c r="Y173" s="49"/>
      <c r="Z173" s="49"/>
      <c r="AA173" s="49">
        <v>0</v>
      </c>
      <c r="AB173" s="49">
        <v>2550000</v>
      </c>
      <c r="AC173" s="49">
        <f t="shared" si="61"/>
        <v>0</v>
      </c>
      <c r="AD173" s="49">
        <f>AA173+T173+M173</f>
        <v>0</v>
      </c>
      <c r="AE173" s="49"/>
      <c r="AF173" s="49"/>
      <c r="AG173" s="49"/>
      <c r="AH173" s="49"/>
      <c r="AI173" s="49"/>
      <c r="AJ173" s="49"/>
      <c r="AK173" s="49">
        <f>Z173+Y173+X173+W173+N173+AG173+AJ173+AI173+AH173</f>
        <v>0</v>
      </c>
      <c r="AL173" s="49">
        <f>AK173/AB173*100</f>
        <v>0</v>
      </c>
      <c r="AM173" s="49"/>
      <c r="AN173" s="49">
        <v>1700000</v>
      </c>
      <c r="AO173" s="49"/>
      <c r="AP173" s="42">
        <v>850000</v>
      </c>
      <c r="AQ173" s="49">
        <f>AK173+AM173+AN173+AO173+AP173</f>
        <v>2550000</v>
      </c>
      <c r="AR173" s="49">
        <f>AQ173/AB173*100</f>
        <v>100</v>
      </c>
      <c r="AS173" s="49">
        <f>AB173-AQ173</f>
        <v>0</v>
      </c>
      <c r="AT173" s="49">
        <v>3091500</v>
      </c>
      <c r="AU173" s="49">
        <f>AT173+U173</f>
        <v>3091500</v>
      </c>
      <c r="AV173" s="49">
        <f>AK173</f>
        <v>0</v>
      </c>
      <c r="AW173" s="72">
        <f>AV173/AU173*100</f>
        <v>0</v>
      </c>
      <c r="AX173" s="49">
        <f>AU173-AV173</f>
        <v>3091500</v>
      </c>
      <c r="AY173" s="49">
        <f>AS173/AB173*100</f>
        <v>0</v>
      </c>
      <c r="AZ173" s="73">
        <f t="shared" si="71"/>
        <v>2550000</v>
      </c>
    </row>
    <row r="174" spans="1:52" ht="20.100000000000001" hidden="1" customHeight="1">
      <c r="A174" s="68"/>
      <c r="B174" s="69"/>
      <c r="C174" s="240" t="s">
        <v>343</v>
      </c>
      <c r="D174" s="240"/>
      <c r="E174" s="241"/>
      <c r="F174" s="70"/>
      <c r="G174" s="71"/>
      <c r="H174" s="240" t="s">
        <v>143</v>
      </c>
      <c r="I174" s="240"/>
      <c r="J174" s="240"/>
      <c r="K174" s="241"/>
      <c r="L174" s="49"/>
      <c r="M174" s="49"/>
      <c r="N174" s="49"/>
      <c r="O174" s="49"/>
      <c r="P174" s="49"/>
      <c r="Q174" s="49"/>
      <c r="R174" s="72"/>
      <c r="S174" s="49"/>
      <c r="T174" s="49"/>
      <c r="U174" s="49"/>
      <c r="V174" s="49"/>
      <c r="W174" s="49"/>
      <c r="X174" s="49"/>
      <c r="Y174" s="49"/>
      <c r="Z174" s="49"/>
      <c r="AA174" s="49"/>
      <c r="AB174" s="49"/>
      <c r="AC174" s="49">
        <f t="shared" si="61"/>
        <v>0</v>
      </c>
      <c r="AD174" s="49"/>
      <c r="AE174" s="49"/>
      <c r="AF174" s="49"/>
      <c r="AG174" s="49"/>
      <c r="AH174" s="49"/>
      <c r="AI174" s="49"/>
      <c r="AJ174" s="49"/>
      <c r="AK174" s="49"/>
      <c r="AL174" s="49"/>
      <c r="AM174" s="49"/>
      <c r="AN174" s="49"/>
      <c r="AO174" s="49"/>
      <c r="AP174" s="42"/>
      <c r="AQ174" s="49"/>
      <c r="AR174" s="49"/>
      <c r="AS174" s="49"/>
      <c r="AT174" s="49"/>
      <c r="AU174" s="49"/>
      <c r="AV174" s="49"/>
      <c r="AW174" s="49"/>
      <c r="AX174" s="49"/>
      <c r="AY174" s="49"/>
      <c r="AZ174" s="73">
        <f t="shared" si="71"/>
        <v>0</v>
      </c>
    </row>
    <row r="175" spans="1:52" ht="20.100000000000001" hidden="1" customHeight="1">
      <c r="A175" s="68"/>
      <c r="B175" s="69"/>
      <c r="C175" s="240" t="s">
        <v>344</v>
      </c>
      <c r="D175" s="240"/>
      <c r="E175" s="241"/>
      <c r="F175" s="70"/>
      <c r="G175" s="71"/>
      <c r="H175" s="71"/>
      <c r="I175" s="240" t="s">
        <v>145</v>
      </c>
      <c r="J175" s="240"/>
      <c r="K175" s="241"/>
      <c r="L175" s="49"/>
      <c r="M175" s="49"/>
      <c r="N175" s="49"/>
      <c r="O175" s="49"/>
      <c r="P175" s="49"/>
      <c r="Q175" s="49"/>
      <c r="R175" s="72"/>
      <c r="S175" s="49"/>
      <c r="T175" s="49">
        <v>0</v>
      </c>
      <c r="U175" s="49">
        <f>T175+M175</f>
        <v>0</v>
      </c>
      <c r="V175" s="49">
        <f>T175+S175</f>
        <v>0</v>
      </c>
      <c r="W175" s="49"/>
      <c r="X175" s="49"/>
      <c r="Y175" s="49"/>
      <c r="Z175" s="49"/>
      <c r="AA175" s="49">
        <v>0</v>
      </c>
      <c r="AB175" s="49"/>
      <c r="AC175" s="49">
        <f t="shared" si="61"/>
        <v>0</v>
      </c>
      <c r="AD175" s="49"/>
      <c r="AE175" s="49"/>
      <c r="AF175" s="49"/>
      <c r="AG175" s="49"/>
      <c r="AH175" s="49"/>
      <c r="AI175" s="49"/>
      <c r="AJ175" s="49"/>
      <c r="AK175" s="49"/>
      <c r="AL175" s="49"/>
      <c r="AM175" s="49"/>
      <c r="AN175" s="49"/>
      <c r="AO175" s="49"/>
      <c r="AP175" s="42"/>
      <c r="AQ175" s="49"/>
      <c r="AR175" s="49"/>
      <c r="AS175" s="49"/>
      <c r="AT175" s="49"/>
      <c r="AU175" s="49"/>
      <c r="AV175" s="49"/>
      <c r="AW175" s="49"/>
      <c r="AX175" s="49"/>
      <c r="AY175" s="49"/>
      <c r="AZ175" s="73">
        <f t="shared" si="71"/>
        <v>0</v>
      </c>
    </row>
    <row r="176" spans="1:52" ht="20.100000000000001" hidden="1" customHeight="1">
      <c r="A176" s="68"/>
      <c r="B176" s="69"/>
      <c r="C176" s="240" t="s">
        <v>345</v>
      </c>
      <c r="D176" s="240"/>
      <c r="E176" s="241"/>
      <c r="F176" s="70"/>
      <c r="G176" s="71"/>
      <c r="H176" s="71"/>
      <c r="I176" s="71"/>
      <c r="J176" s="240" t="s">
        <v>147</v>
      </c>
      <c r="K176" s="241"/>
      <c r="L176" s="49">
        <v>630500</v>
      </c>
      <c r="M176" s="49">
        <v>630500</v>
      </c>
      <c r="N176" s="49">
        <v>630500</v>
      </c>
      <c r="O176" s="49"/>
      <c r="P176" s="49"/>
      <c r="Q176" s="49">
        <f>SUM(N176:P176)</f>
        <v>630500</v>
      </c>
      <c r="R176" s="72">
        <f>Q176/M176*100</f>
        <v>100</v>
      </c>
      <c r="S176" s="49">
        <f>M176-Q176</f>
        <v>0</v>
      </c>
      <c r="T176" s="49">
        <v>0</v>
      </c>
      <c r="U176" s="49">
        <f>T176+M176</f>
        <v>630500</v>
      </c>
      <c r="V176" s="49">
        <f>T176+S176</f>
        <v>0</v>
      </c>
      <c r="W176" s="49"/>
      <c r="X176" s="49"/>
      <c r="Y176" s="49"/>
      <c r="Z176" s="49"/>
      <c r="AA176" s="49">
        <v>0</v>
      </c>
      <c r="AB176" s="49">
        <v>630500</v>
      </c>
      <c r="AC176" s="49">
        <f t="shared" si="61"/>
        <v>0</v>
      </c>
      <c r="AD176" s="49">
        <f>AA176+T176+M176</f>
        <v>630500</v>
      </c>
      <c r="AE176" s="49"/>
      <c r="AF176" s="49"/>
      <c r="AG176" s="49"/>
      <c r="AH176" s="49"/>
      <c r="AI176" s="49"/>
      <c r="AJ176" s="49"/>
      <c r="AK176" s="49">
        <f>Z176+Y176+X176+W176+N176+AG176+AJ176+AI176+AH176</f>
        <v>630500</v>
      </c>
      <c r="AL176" s="49">
        <f>AK176/AD176*100</f>
        <v>100</v>
      </c>
      <c r="AM176" s="49"/>
      <c r="AN176" s="49"/>
      <c r="AO176" s="49"/>
      <c r="AP176" s="42"/>
      <c r="AQ176" s="49">
        <f>AK176+AM176+AN176+AO176+AP176</f>
        <v>630500</v>
      </c>
      <c r="AR176" s="49">
        <f>AQ176/AB176*100</f>
        <v>100</v>
      </c>
      <c r="AS176" s="49">
        <f>AB176-AQ176</f>
        <v>0</v>
      </c>
      <c r="AT176" s="49">
        <v>3091500</v>
      </c>
      <c r="AU176" s="49">
        <f>AT176+U176</f>
        <v>3722000</v>
      </c>
      <c r="AV176" s="49">
        <f>AK176</f>
        <v>630500</v>
      </c>
      <c r="AW176" s="72">
        <f>AV176/AU176*100</f>
        <v>16.939817302525523</v>
      </c>
      <c r="AX176" s="49">
        <f>AU176-AV176</f>
        <v>3091500</v>
      </c>
      <c r="AY176" s="49">
        <f>AS176/AB176*100</f>
        <v>0</v>
      </c>
      <c r="AZ176" s="73">
        <f t="shared" si="71"/>
        <v>630500</v>
      </c>
    </row>
    <row r="177" spans="1:52" ht="20.100000000000001" hidden="1" customHeight="1">
      <c r="A177" s="68"/>
      <c r="B177" s="69"/>
      <c r="C177" s="240" t="s">
        <v>346</v>
      </c>
      <c r="D177" s="240"/>
      <c r="E177" s="241"/>
      <c r="F177" s="70"/>
      <c r="G177" s="71"/>
      <c r="H177" s="71"/>
      <c r="I177" s="71"/>
      <c r="J177" s="240" t="s">
        <v>149</v>
      </c>
      <c r="K177" s="241"/>
      <c r="L177" s="49">
        <v>190000</v>
      </c>
      <c r="M177" s="49">
        <v>190000</v>
      </c>
      <c r="N177" s="49">
        <v>150000</v>
      </c>
      <c r="O177" s="49"/>
      <c r="P177" s="49"/>
      <c r="Q177" s="49">
        <f>SUM(N177:P177)</f>
        <v>150000</v>
      </c>
      <c r="R177" s="72">
        <f>Q177/M177*100</f>
        <v>78.94736842105263</v>
      </c>
      <c r="S177" s="49">
        <f>M177-Q177</f>
        <v>40000</v>
      </c>
      <c r="T177" s="49">
        <v>0</v>
      </c>
      <c r="U177" s="49">
        <f>T177+M177</f>
        <v>190000</v>
      </c>
      <c r="V177" s="49">
        <f>T177+S177</f>
        <v>40000</v>
      </c>
      <c r="W177" s="49"/>
      <c r="X177" s="49"/>
      <c r="Y177" s="49"/>
      <c r="Z177" s="49"/>
      <c r="AA177" s="49">
        <v>0</v>
      </c>
      <c r="AB177" s="49">
        <v>190000</v>
      </c>
      <c r="AC177" s="49">
        <f t="shared" ref="AC177:AC240" si="73">AB177-L177</f>
        <v>0</v>
      </c>
      <c r="AD177" s="49">
        <f>AA177+T177+M177</f>
        <v>190000</v>
      </c>
      <c r="AE177" s="49"/>
      <c r="AF177" s="49"/>
      <c r="AG177" s="49"/>
      <c r="AH177" s="49"/>
      <c r="AI177" s="49"/>
      <c r="AJ177" s="49"/>
      <c r="AK177" s="49">
        <f>Z177+Y177+X177+W177+N177+AG177+AJ177+AI177+AH177</f>
        <v>150000</v>
      </c>
      <c r="AL177" s="49">
        <f>AK177/AD177*100</f>
        <v>78.94736842105263</v>
      </c>
      <c r="AM177" s="49"/>
      <c r="AN177" s="49"/>
      <c r="AO177" s="49"/>
      <c r="AP177" s="42"/>
      <c r="AQ177" s="49">
        <f>AK177+AM177+AN177+AO177+AP177</f>
        <v>150000</v>
      </c>
      <c r="AR177" s="49">
        <f>AQ177/AB177*100</f>
        <v>78.94736842105263</v>
      </c>
      <c r="AS177" s="49">
        <f>AB177-AQ177</f>
        <v>40000</v>
      </c>
      <c r="AT177" s="49">
        <v>3091500</v>
      </c>
      <c r="AU177" s="49">
        <f>AT177+U177</f>
        <v>3281500</v>
      </c>
      <c r="AV177" s="49">
        <f>AK177</f>
        <v>150000</v>
      </c>
      <c r="AW177" s="72">
        <f>AV177/AU177*100</f>
        <v>4.5710802986439125</v>
      </c>
      <c r="AX177" s="49">
        <f>AU177-AV177</f>
        <v>3131500</v>
      </c>
      <c r="AY177" s="49">
        <f>AS177/AB177*100</f>
        <v>21.052631578947366</v>
      </c>
      <c r="AZ177" s="73">
        <f t="shared" si="71"/>
        <v>150000</v>
      </c>
    </row>
    <row r="178" spans="1:52" ht="20.100000000000001" hidden="1" customHeight="1">
      <c r="A178" s="68"/>
      <c r="B178" s="69"/>
      <c r="C178" s="240" t="s">
        <v>347</v>
      </c>
      <c r="D178" s="240"/>
      <c r="E178" s="241"/>
      <c r="F178" s="70"/>
      <c r="G178" s="71"/>
      <c r="H178" s="71"/>
      <c r="I178" s="240" t="s">
        <v>163</v>
      </c>
      <c r="J178" s="240"/>
      <c r="K178" s="241"/>
      <c r="L178" s="49"/>
      <c r="M178" s="49"/>
      <c r="N178" s="49"/>
      <c r="O178" s="49"/>
      <c r="P178" s="49"/>
      <c r="Q178" s="49"/>
      <c r="R178" s="72"/>
      <c r="S178" s="49"/>
      <c r="T178" s="49"/>
      <c r="U178" s="49"/>
      <c r="V178" s="49"/>
      <c r="W178" s="49"/>
      <c r="X178" s="49"/>
      <c r="Y178" s="49"/>
      <c r="Z178" s="49"/>
      <c r="AA178" s="49"/>
      <c r="AB178" s="49"/>
      <c r="AC178" s="49">
        <f t="shared" si="73"/>
        <v>0</v>
      </c>
      <c r="AD178" s="49"/>
      <c r="AE178" s="49"/>
      <c r="AF178" s="49"/>
      <c r="AG178" s="49"/>
      <c r="AH178" s="49"/>
      <c r="AI178" s="49"/>
      <c r="AJ178" s="49"/>
      <c r="AK178" s="49"/>
      <c r="AL178" s="49"/>
      <c r="AM178" s="49"/>
      <c r="AN178" s="49"/>
      <c r="AO178" s="49"/>
      <c r="AP178" s="42"/>
      <c r="AQ178" s="49"/>
      <c r="AR178" s="49"/>
      <c r="AS178" s="49"/>
      <c r="AT178" s="49"/>
      <c r="AU178" s="49"/>
      <c r="AV178" s="49"/>
      <c r="AW178" s="49"/>
      <c r="AX178" s="49"/>
      <c r="AY178" s="49"/>
      <c r="AZ178" s="73">
        <f t="shared" si="71"/>
        <v>0</v>
      </c>
    </row>
    <row r="179" spans="1:52" ht="20.100000000000001" hidden="1" customHeight="1">
      <c r="A179" s="68"/>
      <c r="B179" s="69"/>
      <c r="C179" s="240" t="s">
        <v>348</v>
      </c>
      <c r="D179" s="240"/>
      <c r="E179" s="241"/>
      <c r="F179" s="70"/>
      <c r="G179" s="71"/>
      <c r="H179" s="71"/>
      <c r="I179" s="71"/>
      <c r="J179" s="240" t="s">
        <v>349</v>
      </c>
      <c r="K179" s="241"/>
      <c r="L179" s="49">
        <v>350000</v>
      </c>
      <c r="M179" s="49">
        <v>0</v>
      </c>
      <c r="N179" s="49"/>
      <c r="O179" s="49"/>
      <c r="P179" s="49"/>
      <c r="Q179" s="49">
        <f>SUM(N179:P179)</f>
        <v>0</v>
      </c>
      <c r="R179" s="72"/>
      <c r="S179" s="49">
        <f>M179-Q179</f>
        <v>0</v>
      </c>
      <c r="T179" s="49">
        <v>0</v>
      </c>
      <c r="U179" s="49">
        <f>T179+M179</f>
        <v>0</v>
      </c>
      <c r="V179" s="49">
        <f>T179+S179</f>
        <v>0</v>
      </c>
      <c r="W179" s="49"/>
      <c r="X179" s="49"/>
      <c r="Y179" s="49"/>
      <c r="Z179" s="49"/>
      <c r="AA179" s="49">
        <v>0</v>
      </c>
      <c r="AB179" s="49">
        <v>350000</v>
      </c>
      <c r="AC179" s="49">
        <f t="shared" si="73"/>
        <v>0</v>
      </c>
      <c r="AD179" s="49">
        <f>AA179+T179+M179</f>
        <v>0</v>
      </c>
      <c r="AE179" s="49"/>
      <c r="AF179" s="49"/>
      <c r="AG179" s="49"/>
      <c r="AH179" s="49"/>
      <c r="AI179" s="49"/>
      <c r="AJ179" s="49"/>
      <c r="AK179" s="49">
        <f>Z179+Y179+X179+W179+N179+AG179+AJ179+AI179+AH179</f>
        <v>0</v>
      </c>
      <c r="AL179" s="49" t="e">
        <f>AK179/AD179*100</f>
        <v>#DIV/0!</v>
      </c>
      <c r="AM179" s="49"/>
      <c r="AN179" s="49">
        <v>350000</v>
      </c>
      <c r="AO179" s="49"/>
      <c r="AP179" s="42"/>
      <c r="AQ179" s="49">
        <f>AK179+AM179+AN179+AO179+AP179</f>
        <v>350000</v>
      </c>
      <c r="AR179" s="49">
        <f>AQ179/AB179*100</f>
        <v>100</v>
      </c>
      <c r="AS179" s="49">
        <f>AB179-AQ179</f>
        <v>0</v>
      </c>
      <c r="AT179" s="49">
        <v>3091500</v>
      </c>
      <c r="AU179" s="49">
        <f>AT179+U179</f>
        <v>3091500</v>
      </c>
      <c r="AV179" s="49">
        <f>AK179</f>
        <v>0</v>
      </c>
      <c r="AW179" s="72">
        <f>AV179/AU179*100</f>
        <v>0</v>
      </c>
      <c r="AX179" s="49">
        <f>AU179-AV179</f>
        <v>3091500</v>
      </c>
      <c r="AY179" s="49">
        <f>AS179/AB179*100</f>
        <v>0</v>
      </c>
      <c r="AZ179" s="73">
        <f t="shared" si="71"/>
        <v>350000</v>
      </c>
    </row>
    <row r="180" spans="1:52" ht="20.100000000000001" hidden="1" customHeight="1">
      <c r="A180" s="68"/>
      <c r="B180" s="69"/>
      <c r="C180" s="240" t="s">
        <v>350</v>
      </c>
      <c r="D180" s="240"/>
      <c r="E180" s="241"/>
      <c r="F180" s="70"/>
      <c r="G180" s="71"/>
      <c r="H180" s="71"/>
      <c r="I180" s="71"/>
      <c r="J180" s="240" t="s">
        <v>231</v>
      </c>
      <c r="K180" s="241"/>
      <c r="L180" s="49">
        <v>536000</v>
      </c>
      <c r="M180" s="49">
        <v>0</v>
      </c>
      <c r="N180" s="49"/>
      <c r="O180" s="49"/>
      <c r="P180" s="49"/>
      <c r="Q180" s="49">
        <f>SUM(N180:P180)</f>
        <v>0</v>
      </c>
      <c r="R180" s="72"/>
      <c r="S180" s="49">
        <f>M180-Q180</f>
        <v>0</v>
      </c>
      <c r="T180" s="49">
        <v>0</v>
      </c>
      <c r="U180" s="49">
        <f>T180+M180</f>
        <v>0</v>
      </c>
      <c r="V180" s="49">
        <f>T180+S180</f>
        <v>0</v>
      </c>
      <c r="W180" s="49"/>
      <c r="X180" s="49"/>
      <c r="Y180" s="49"/>
      <c r="Z180" s="49"/>
      <c r="AA180" s="49">
        <v>0</v>
      </c>
      <c r="AB180" s="49">
        <v>536000</v>
      </c>
      <c r="AC180" s="49">
        <f t="shared" si="73"/>
        <v>0</v>
      </c>
      <c r="AD180" s="49">
        <f>AA180+T180+M180</f>
        <v>0</v>
      </c>
      <c r="AE180" s="49"/>
      <c r="AF180" s="49"/>
      <c r="AG180" s="49"/>
      <c r="AH180" s="49"/>
      <c r="AI180" s="49"/>
      <c r="AJ180" s="49"/>
      <c r="AK180" s="49">
        <f>Z180+Y180+X180+W180+N180+AG180+AJ180+AI180+AH180</f>
        <v>0</v>
      </c>
      <c r="AL180" s="49" t="e">
        <f>AK180/AD180*100</f>
        <v>#DIV/0!</v>
      </c>
      <c r="AM180" s="49"/>
      <c r="AN180" s="49">
        <v>0</v>
      </c>
      <c r="AO180" s="49"/>
      <c r="AP180" s="42">
        <v>536000</v>
      </c>
      <c r="AQ180" s="49">
        <f>AK180+AM180+AN180+AO180+AP180</f>
        <v>536000</v>
      </c>
      <c r="AR180" s="49">
        <f>AQ180/AB180*100</f>
        <v>100</v>
      </c>
      <c r="AS180" s="49">
        <f>AB180-AQ180</f>
        <v>0</v>
      </c>
      <c r="AT180" s="49">
        <v>3091500</v>
      </c>
      <c r="AU180" s="49">
        <f>AT180+U180</f>
        <v>3091500</v>
      </c>
      <c r="AV180" s="49">
        <f>AK180</f>
        <v>0</v>
      </c>
      <c r="AW180" s="72">
        <f>AV180/AU180*100</f>
        <v>0</v>
      </c>
      <c r="AX180" s="49">
        <f>AU180-AV180</f>
        <v>3091500</v>
      </c>
      <c r="AY180" s="49">
        <f>AS180/AB180*100</f>
        <v>0</v>
      </c>
      <c r="AZ180" s="73">
        <f t="shared" si="71"/>
        <v>536000</v>
      </c>
    </row>
    <row r="181" spans="1:52" ht="20.100000000000001" hidden="1" customHeight="1">
      <c r="A181" s="68"/>
      <c r="B181" s="69"/>
      <c r="C181" s="240" t="s">
        <v>351</v>
      </c>
      <c r="D181" s="240"/>
      <c r="E181" s="241"/>
      <c r="F181" s="70"/>
      <c r="G181" s="71"/>
      <c r="H181" s="71"/>
      <c r="I181" s="71"/>
      <c r="J181" s="240" t="s">
        <v>352</v>
      </c>
      <c r="K181" s="241"/>
      <c r="L181" s="49">
        <v>24000000</v>
      </c>
      <c r="M181" s="49">
        <v>0</v>
      </c>
      <c r="N181" s="49"/>
      <c r="O181" s="49"/>
      <c r="P181" s="49"/>
      <c r="Q181" s="49">
        <f>SUM(N181:P181)</f>
        <v>0</v>
      </c>
      <c r="R181" s="72"/>
      <c r="S181" s="49">
        <f>M181-Q181</f>
        <v>0</v>
      </c>
      <c r="T181" s="49">
        <v>0</v>
      </c>
      <c r="U181" s="49">
        <f>T181+M181</f>
        <v>0</v>
      </c>
      <c r="V181" s="49">
        <f>T181+S181</f>
        <v>0</v>
      </c>
      <c r="W181" s="49"/>
      <c r="X181" s="49"/>
      <c r="Y181" s="49"/>
      <c r="Z181" s="49"/>
      <c r="AA181" s="49">
        <v>0</v>
      </c>
      <c r="AB181" s="49">
        <v>24000000</v>
      </c>
      <c r="AC181" s="49">
        <f t="shared" si="73"/>
        <v>0</v>
      </c>
      <c r="AD181" s="49">
        <f>AA181+T181+M181</f>
        <v>0</v>
      </c>
      <c r="AE181" s="49"/>
      <c r="AF181" s="49"/>
      <c r="AG181" s="49"/>
      <c r="AH181" s="49"/>
      <c r="AI181" s="49"/>
      <c r="AJ181" s="49"/>
      <c r="AK181" s="49">
        <f>Z181+Y181+X181+W181+N181+AG181+AJ181+AI181+AH181</f>
        <v>0</v>
      </c>
      <c r="AL181" s="49" t="e">
        <f>AK181/AD181*100</f>
        <v>#DIV/0!</v>
      </c>
      <c r="AM181" s="49"/>
      <c r="AN181" s="49">
        <v>0</v>
      </c>
      <c r="AO181" s="49"/>
      <c r="AP181" s="42">
        <v>24000000</v>
      </c>
      <c r="AQ181" s="49">
        <f>AK181+AM181+AN181+AO181+AP181</f>
        <v>24000000</v>
      </c>
      <c r="AR181" s="49">
        <f>AQ181/AB181*100</f>
        <v>100</v>
      </c>
      <c r="AS181" s="49">
        <f>AB181-AQ181</f>
        <v>0</v>
      </c>
      <c r="AT181" s="49">
        <v>3091500</v>
      </c>
      <c r="AU181" s="49">
        <f>AT181+U181</f>
        <v>3091500</v>
      </c>
      <c r="AV181" s="49">
        <f>AK181</f>
        <v>0</v>
      </c>
      <c r="AW181" s="72">
        <f>AV181/AU181*100</f>
        <v>0</v>
      </c>
      <c r="AX181" s="49">
        <f>AU181-AV181</f>
        <v>3091500</v>
      </c>
      <c r="AY181" s="49">
        <f>AS181/AB181*100</f>
        <v>0</v>
      </c>
      <c r="AZ181" s="73">
        <f t="shared" si="71"/>
        <v>24000000</v>
      </c>
    </row>
    <row r="182" spans="1:52" ht="20.100000000000001" hidden="1" customHeight="1">
      <c r="A182" s="68"/>
      <c r="B182" s="69"/>
      <c r="C182" s="240" t="s">
        <v>353</v>
      </c>
      <c r="D182" s="240"/>
      <c r="E182" s="241"/>
      <c r="F182" s="70"/>
      <c r="G182" s="71"/>
      <c r="H182" s="71"/>
      <c r="I182" s="240" t="s">
        <v>151</v>
      </c>
      <c r="J182" s="240"/>
      <c r="K182" s="241"/>
      <c r="L182" s="49"/>
      <c r="M182" s="49"/>
      <c r="N182" s="49"/>
      <c r="O182" s="49"/>
      <c r="P182" s="49"/>
      <c r="Q182" s="49"/>
      <c r="R182" s="72"/>
      <c r="S182" s="49"/>
      <c r="T182" s="49"/>
      <c r="U182" s="49"/>
      <c r="V182" s="49"/>
      <c r="W182" s="49"/>
      <c r="X182" s="49"/>
      <c r="Y182" s="49"/>
      <c r="Z182" s="49"/>
      <c r="AA182" s="49"/>
      <c r="AB182" s="49"/>
      <c r="AC182" s="49">
        <f t="shared" si="73"/>
        <v>0</v>
      </c>
      <c r="AD182" s="49"/>
      <c r="AE182" s="49"/>
      <c r="AF182" s="49"/>
      <c r="AG182" s="49"/>
      <c r="AH182" s="49"/>
      <c r="AI182" s="49"/>
      <c r="AJ182" s="49"/>
      <c r="AK182" s="49"/>
      <c r="AL182" s="49"/>
      <c r="AM182" s="49"/>
      <c r="AN182" s="49"/>
      <c r="AO182" s="49"/>
      <c r="AP182" s="42"/>
      <c r="AQ182" s="49"/>
      <c r="AR182" s="49"/>
      <c r="AS182" s="49"/>
      <c r="AT182" s="49"/>
      <c r="AU182" s="49"/>
      <c r="AV182" s="49"/>
      <c r="AW182" s="49"/>
      <c r="AX182" s="49"/>
      <c r="AY182" s="49"/>
      <c r="AZ182" s="73">
        <f t="shared" si="71"/>
        <v>0</v>
      </c>
    </row>
    <row r="183" spans="1:52" ht="20.100000000000001" hidden="1" customHeight="1">
      <c r="A183" s="68"/>
      <c r="B183" s="69"/>
      <c r="C183" s="240" t="s">
        <v>354</v>
      </c>
      <c r="D183" s="240"/>
      <c r="E183" s="241"/>
      <c r="F183" s="70"/>
      <c r="G183" s="71"/>
      <c r="H183" s="71"/>
      <c r="I183" s="71"/>
      <c r="J183" s="240" t="s">
        <v>153</v>
      </c>
      <c r="K183" s="241"/>
      <c r="L183" s="49">
        <v>120000</v>
      </c>
      <c r="M183" s="49">
        <v>0</v>
      </c>
      <c r="N183" s="49"/>
      <c r="O183" s="49"/>
      <c r="P183" s="49"/>
      <c r="Q183" s="49">
        <f>SUM(N183:P183)</f>
        <v>0</v>
      </c>
      <c r="R183" s="72"/>
      <c r="S183" s="49">
        <f>M183-Q183</f>
        <v>0</v>
      </c>
      <c r="T183" s="49">
        <v>0</v>
      </c>
      <c r="U183" s="49">
        <f>T183+M183</f>
        <v>0</v>
      </c>
      <c r="V183" s="49">
        <f>T183+S183</f>
        <v>0</v>
      </c>
      <c r="W183" s="49"/>
      <c r="X183" s="49"/>
      <c r="Y183" s="49"/>
      <c r="Z183" s="49"/>
      <c r="AA183" s="49">
        <v>0</v>
      </c>
      <c r="AB183" s="49">
        <v>120000</v>
      </c>
      <c r="AC183" s="49">
        <f t="shared" si="73"/>
        <v>0</v>
      </c>
      <c r="AD183" s="49">
        <f>AA183+T183+M183</f>
        <v>0</v>
      </c>
      <c r="AE183" s="49"/>
      <c r="AF183" s="49"/>
      <c r="AG183" s="49"/>
      <c r="AH183" s="49"/>
      <c r="AI183" s="49"/>
      <c r="AJ183" s="49"/>
      <c r="AK183" s="49">
        <f>Z183+Y183+X183+W183+N183+AG183+AJ183+AI183+AH183</f>
        <v>0</v>
      </c>
      <c r="AL183" s="49" t="e">
        <f>AK183/AD183*100</f>
        <v>#DIV/0!</v>
      </c>
      <c r="AM183" s="49"/>
      <c r="AN183" s="49">
        <v>120000</v>
      </c>
      <c r="AO183" s="49"/>
      <c r="AP183" s="42"/>
      <c r="AQ183" s="49">
        <f>AK183+AM183+AN183+AO183+AP183</f>
        <v>120000</v>
      </c>
      <c r="AR183" s="49">
        <f>AQ183/AB183*100</f>
        <v>100</v>
      </c>
      <c r="AS183" s="49">
        <f>AB183-AQ183</f>
        <v>0</v>
      </c>
      <c r="AT183" s="49">
        <v>3091500</v>
      </c>
      <c r="AU183" s="49">
        <f>AT183+U183</f>
        <v>3091500</v>
      </c>
      <c r="AV183" s="49">
        <f>AK183</f>
        <v>0</v>
      </c>
      <c r="AW183" s="72">
        <f>AV183/AU183*100</f>
        <v>0</v>
      </c>
      <c r="AX183" s="49">
        <f>AU183-AV183</f>
        <v>3091500</v>
      </c>
      <c r="AY183" s="49">
        <f>AS183/AB183*100</f>
        <v>0</v>
      </c>
      <c r="AZ183" s="73">
        <f t="shared" si="71"/>
        <v>120000</v>
      </c>
    </row>
    <row r="184" spans="1:52" ht="20.100000000000001" hidden="1" customHeight="1">
      <c r="A184" s="68"/>
      <c r="B184" s="69"/>
      <c r="C184" s="240" t="s">
        <v>355</v>
      </c>
      <c r="D184" s="240"/>
      <c r="E184" s="241"/>
      <c r="F184" s="70"/>
      <c r="G184" s="71"/>
      <c r="H184" s="71"/>
      <c r="I184" s="71"/>
      <c r="J184" s="240" t="s">
        <v>155</v>
      </c>
      <c r="K184" s="241"/>
      <c r="L184" s="49">
        <v>383500</v>
      </c>
      <c r="M184" s="49">
        <v>0</v>
      </c>
      <c r="N184" s="49"/>
      <c r="O184" s="49"/>
      <c r="P184" s="49"/>
      <c r="Q184" s="49">
        <f>SUM(N184:P184)</f>
        <v>0</v>
      </c>
      <c r="R184" s="72"/>
      <c r="S184" s="49">
        <f>M184-Q184</f>
        <v>0</v>
      </c>
      <c r="T184" s="49">
        <v>0</v>
      </c>
      <c r="U184" s="49">
        <f>T184+M184</f>
        <v>0</v>
      </c>
      <c r="V184" s="49">
        <f>T184+S184</f>
        <v>0</v>
      </c>
      <c r="W184" s="49"/>
      <c r="X184" s="49"/>
      <c r="Y184" s="49"/>
      <c r="Z184" s="49"/>
      <c r="AA184" s="49">
        <v>0</v>
      </c>
      <c r="AB184" s="49">
        <v>383500</v>
      </c>
      <c r="AC184" s="49">
        <f t="shared" si="73"/>
        <v>0</v>
      </c>
      <c r="AD184" s="49">
        <f>AA184+T184+M184</f>
        <v>0</v>
      </c>
      <c r="AE184" s="49"/>
      <c r="AF184" s="49"/>
      <c r="AG184" s="49"/>
      <c r="AH184" s="49"/>
      <c r="AI184" s="49"/>
      <c r="AJ184" s="49"/>
      <c r="AK184" s="49">
        <f>Z184+Y184+X184+W184+N184+AG184+AJ184+AI184+AH184</f>
        <v>0</v>
      </c>
      <c r="AL184" s="49" t="e">
        <f>AK184/AD184*100</f>
        <v>#DIV/0!</v>
      </c>
      <c r="AM184" s="49"/>
      <c r="AN184" s="49">
        <v>383425</v>
      </c>
      <c r="AO184" s="49"/>
      <c r="AP184" s="42"/>
      <c r="AQ184" s="49">
        <f>AK184+AM184+AN184+AO184+AP184</f>
        <v>383425</v>
      </c>
      <c r="AR184" s="49">
        <f>AQ184/AB184*100</f>
        <v>99.980443285528025</v>
      </c>
      <c r="AS184" s="49">
        <f>AB184-AQ184</f>
        <v>75</v>
      </c>
      <c r="AT184" s="49">
        <v>3091500</v>
      </c>
      <c r="AU184" s="49">
        <f>AT184+U184</f>
        <v>3091500</v>
      </c>
      <c r="AV184" s="49">
        <f>AK184</f>
        <v>0</v>
      </c>
      <c r="AW184" s="72">
        <f>AV184/AU184*100</f>
        <v>0</v>
      </c>
      <c r="AX184" s="49">
        <f>AU184-AV184</f>
        <v>3091500</v>
      </c>
      <c r="AY184" s="49">
        <f>AS184/AB184*100</f>
        <v>1.955671447196871E-2</v>
      </c>
      <c r="AZ184" s="73">
        <f t="shared" si="71"/>
        <v>383425</v>
      </c>
    </row>
    <row r="185" spans="1:52" ht="20.100000000000001" hidden="1" customHeight="1">
      <c r="A185" s="68"/>
      <c r="B185" s="69"/>
      <c r="C185" s="240" t="s">
        <v>356</v>
      </c>
      <c r="D185" s="240"/>
      <c r="E185" s="241"/>
      <c r="F185" s="70"/>
      <c r="G185" s="71"/>
      <c r="H185" s="71"/>
      <c r="I185" s="240" t="s">
        <v>328</v>
      </c>
      <c r="J185" s="240"/>
      <c r="K185" s="241"/>
      <c r="L185" s="49"/>
      <c r="M185" s="49">
        <v>0</v>
      </c>
      <c r="N185" s="49"/>
      <c r="O185" s="49"/>
      <c r="P185" s="49"/>
      <c r="Q185" s="49"/>
      <c r="R185" s="72"/>
      <c r="S185" s="49"/>
      <c r="T185" s="49"/>
      <c r="U185" s="49"/>
      <c r="V185" s="49"/>
      <c r="W185" s="49"/>
      <c r="X185" s="49"/>
      <c r="Y185" s="49"/>
      <c r="Z185" s="49"/>
      <c r="AA185" s="49"/>
      <c r="AB185" s="49"/>
      <c r="AC185" s="49">
        <f t="shared" si="73"/>
        <v>0</v>
      </c>
      <c r="AD185" s="49"/>
      <c r="AE185" s="49"/>
      <c r="AF185" s="49"/>
      <c r="AG185" s="49"/>
      <c r="AH185" s="49"/>
      <c r="AI185" s="49"/>
      <c r="AJ185" s="49"/>
      <c r="AK185" s="49"/>
      <c r="AL185" s="49"/>
      <c r="AM185" s="49"/>
      <c r="AN185" s="49"/>
      <c r="AO185" s="49"/>
      <c r="AP185" s="42"/>
      <c r="AQ185" s="49"/>
      <c r="AR185" s="49"/>
      <c r="AS185" s="49"/>
      <c r="AT185" s="49"/>
      <c r="AU185" s="49"/>
      <c r="AV185" s="49"/>
      <c r="AW185" s="49"/>
      <c r="AX185" s="49"/>
      <c r="AY185" s="49"/>
      <c r="AZ185" s="73">
        <f t="shared" si="71"/>
        <v>0</v>
      </c>
    </row>
    <row r="186" spans="1:52" ht="20.100000000000001" hidden="1" customHeight="1">
      <c r="A186" s="68"/>
      <c r="B186" s="69"/>
      <c r="C186" s="240" t="s">
        <v>357</v>
      </c>
      <c r="D186" s="240"/>
      <c r="E186" s="241"/>
      <c r="F186" s="70"/>
      <c r="G186" s="71"/>
      <c r="H186" s="71"/>
      <c r="I186" s="71"/>
      <c r="J186" s="240" t="s">
        <v>330</v>
      </c>
      <c r="K186" s="241"/>
      <c r="L186" s="49">
        <v>9300000</v>
      </c>
      <c r="M186" s="49">
        <v>0</v>
      </c>
      <c r="N186" s="49"/>
      <c r="O186" s="49"/>
      <c r="P186" s="49"/>
      <c r="Q186" s="49">
        <f>SUM(N186:P186)</f>
        <v>0</v>
      </c>
      <c r="R186" s="72"/>
      <c r="S186" s="49">
        <f>M186-Q186</f>
        <v>0</v>
      </c>
      <c r="T186" s="49">
        <v>0</v>
      </c>
      <c r="U186" s="49">
        <f>T186+M186</f>
        <v>0</v>
      </c>
      <c r="V186" s="49">
        <f>T186+S186</f>
        <v>0</v>
      </c>
      <c r="W186" s="49"/>
      <c r="X186" s="49"/>
      <c r="Y186" s="49"/>
      <c r="Z186" s="49"/>
      <c r="AA186" s="49">
        <v>0</v>
      </c>
      <c r="AB186" s="49">
        <v>9300000</v>
      </c>
      <c r="AC186" s="49">
        <f t="shared" si="73"/>
        <v>0</v>
      </c>
      <c r="AD186" s="49">
        <f>AA186+T186+M186</f>
        <v>0</v>
      </c>
      <c r="AE186" s="49"/>
      <c r="AF186" s="49"/>
      <c r="AG186" s="49"/>
      <c r="AH186" s="49"/>
      <c r="AI186" s="49"/>
      <c r="AJ186" s="49"/>
      <c r="AK186" s="49">
        <f>Z186+Y186+X186+W186+N186+AG186+AJ186+AI186+AH186</f>
        <v>0</v>
      </c>
      <c r="AL186" s="49" t="e">
        <f>AK186/AD186*100</f>
        <v>#DIV/0!</v>
      </c>
      <c r="AM186" s="49"/>
      <c r="AN186" s="49">
        <v>0</v>
      </c>
      <c r="AO186" s="49"/>
      <c r="AP186" s="42">
        <v>9300000</v>
      </c>
      <c r="AQ186" s="49">
        <f>AK186+AM186+AN186+AO186+AP186</f>
        <v>9300000</v>
      </c>
      <c r="AR186" s="49">
        <f>AQ186/AB186*100</f>
        <v>100</v>
      </c>
      <c r="AS186" s="49">
        <f>AB186-AQ186</f>
        <v>0</v>
      </c>
      <c r="AT186" s="49">
        <v>3091500</v>
      </c>
      <c r="AU186" s="49">
        <f>AT186+U186</f>
        <v>3091500</v>
      </c>
      <c r="AV186" s="49">
        <f>AK186</f>
        <v>0</v>
      </c>
      <c r="AW186" s="72">
        <f>AV186/AU186*100</f>
        <v>0</v>
      </c>
      <c r="AX186" s="49">
        <f>AU186-AV186</f>
        <v>3091500</v>
      </c>
      <c r="AY186" s="49">
        <f>AS186/AB186*100</f>
        <v>0</v>
      </c>
      <c r="AZ186" s="73">
        <f t="shared" si="71"/>
        <v>9300000</v>
      </c>
    </row>
    <row r="187" spans="1:52" ht="20.100000000000001" hidden="1" customHeight="1">
      <c r="A187" s="68"/>
      <c r="B187" s="69"/>
      <c r="C187" s="240" t="s">
        <v>358</v>
      </c>
      <c r="D187" s="240"/>
      <c r="E187" s="241"/>
      <c r="F187" s="70"/>
      <c r="G187" s="71"/>
      <c r="H187" s="71"/>
      <c r="I187" s="240" t="s">
        <v>193</v>
      </c>
      <c r="J187" s="240"/>
      <c r="K187" s="241"/>
      <c r="L187" s="49"/>
      <c r="M187" s="49"/>
      <c r="N187" s="49"/>
      <c r="O187" s="49"/>
      <c r="P187" s="49"/>
      <c r="Q187" s="49"/>
      <c r="R187" s="72"/>
      <c r="S187" s="49"/>
      <c r="T187" s="49"/>
      <c r="U187" s="49"/>
      <c r="V187" s="49"/>
      <c r="W187" s="49"/>
      <c r="X187" s="49"/>
      <c r="Y187" s="49"/>
      <c r="Z187" s="49"/>
      <c r="AA187" s="49"/>
      <c r="AB187" s="49"/>
      <c r="AC187" s="49">
        <f t="shared" si="73"/>
        <v>0</v>
      </c>
      <c r="AD187" s="49"/>
      <c r="AE187" s="49"/>
      <c r="AF187" s="49"/>
      <c r="AG187" s="49"/>
      <c r="AH187" s="49"/>
      <c r="AI187" s="49"/>
      <c r="AJ187" s="49"/>
      <c r="AK187" s="49"/>
      <c r="AL187" s="49"/>
      <c r="AM187" s="49"/>
      <c r="AN187" s="49"/>
      <c r="AO187" s="49"/>
      <c r="AP187" s="42"/>
      <c r="AQ187" s="49"/>
      <c r="AR187" s="49"/>
      <c r="AS187" s="49"/>
      <c r="AT187" s="49"/>
      <c r="AU187" s="49"/>
      <c r="AV187" s="49"/>
      <c r="AW187" s="49"/>
      <c r="AX187" s="49"/>
      <c r="AY187" s="49"/>
      <c r="AZ187" s="73">
        <f t="shared" si="71"/>
        <v>0</v>
      </c>
    </row>
    <row r="188" spans="1:52" ht="20.100000000000001" hidden="1" customHeight="1">
      <c r="A188" s="68"/>
      <c r="B188" s="69"/>
      <c r="C188" s="240" t="s">
        <v>359</v>
      </c>
      <c r="D188" s="240"/>
      <c r="E188" s="241"/>
      <c r="F188" s="70"/>
      <c r="G188" s="71"/>
      <c r="H188" s="71"/>
      <c r="I188" s="71"/>
      <c r="J188" s="240" t="s">
        <v>195</v>
      </c>
      <c r="K188" s="241"/>
      <c r="L188" s="49">
        <v>2767500</v>
      </c>
      <c r="M188" s="49">
        <v>0</v>
      </c>
      <c r="N188" s="49"/>
      <c r="O188" s="49"/>
      <c r="P188" s="49"/>
      <c r="Q188" s="49">
        <f>SUM(N188:P188)</f>
        <v>0</v>
      </c>
      <c r="R188" s="72"/>
      <c r="S188" s="49">
        <f>M188-Q188</f>
        <v>0</v>
      </c>
      <c r="T188" s="49">
        <v>675000</v>
      </c>
      <c r="U188" s="49">
        <f>T188+M188</f>
        <v>675000</v>
      </c>
      <c r="V188" s="49">
        <f>T188+S188</f>
        <v>675000</v>
      </c>
      <c r="W188" s="49">
        <v>675000</v>
      </c>
      <c r="X188" s="49"/>
      <c r="Y188" s="49"/>
      <c r="Z188" s="49"/>
      <c r="AA188" s="49">
        <v>675000</v>
      </c>
      <c r="AB188" s="49">
        <v>2767500</v>
      </c>
      <c r="AC188" s="49">
        <f t="shared" si="73"/>
        <v>0</v>
      </c>
      <c r="AD188" s="49">
        <f>AA188+T188+M188</f>
        <v>1350000</v>
      </c>
      <c r="AE188" s="49"/>
      <c r="AF188" s="49"/>
      <c r="AG188" s="49">
        <v>0</v>
      </c>
      <c r="AH188" s="49"/>
      <c r="AI188" s="49"/>
      <c r="AJ188" s="49">
        <v>0</v>
      </c>
      <c r="AK188" s="49">
        <f>Z188+Y188+X188+W188+N188+AG188+AJ188+AI188+AH188</f>
        <v>675000</v>
      </c>
      <c r="AL188" s="49">
        <f>AK188/AD188*100</f>
        <v>50</v>
      </c>
      <c r="AM188" s="49"/>
      <c r="AN188" s="49">
        <v>900000</v>
      </c>
      <c r="AO188" s="49"/>
      <c r="AP188" s="42">
        <v>1192500</v>
      </c>
      <c r="AQ188" s="49">
        <f>AK188+AM188+AN188+AO188+AP188</f>
        <v>2767500</v>
      </c>
      <c r="AR188" s="49">
        <f>AQ188/AB188*100</f>
        <v>100</v>
      </c>
      <c r="AS188" s="49">
        <f>AB188-AQ188</f>
        <v>0</v>
      </c>
      <c r="AT188" s="49">
        <v>3091500</v>
      </c>
      <c r="AU188" s="49">
        <f>AT188+U188</f>
        <v>3766500</v>
      </c>
      <c r="AV188" s="49">
        <f>AK188</f>
        <v>675000</v>
      </c>
      <c r="AW188" s="72">
        <f>AV188/AU188*100</f>
        <v>17.921146953405017</v>
      </c>
      <c r="AX188" s="49">
        <f>AU188-AV188</f>
        <v>3091500</v>
      </c>
      <c r="AY188" s="49">
        <f>AS188/AB188*100</f>
        <v>0</v>
      </c>
      <c r="AZ188" s="73">
        <f t="shared" si="71"/>
        <v>2767500</v>
      </c>
    </row>
    <row r="189" spans="1:52" ht="20.100000000000001" hidden="1" customHeight="1">
      <c r="A189" s="68"/>
      <c r="B189" s="69"/>
      <c r="C189" s="240" t="s">
        <v>360</v>
      </c>
      <c r="D189" s="240"/>
      <c r="E189" s="241"/>
      <c r="F189" s="70"/>
      <c r="G189" s="71"/>
      <c r="H189" s="71"/>
      <c r="I189" s="240" t="s">
        <v>157</v>
      </c>
      <c r="J189" s="240"/>
      <c r="K189" s="241"/>
      <c r="L189" s="49"/>
      <c r="M189" s="49"/>
      <c r="N189" s="49"/>
      <c r="O189" s="49"/>
      <c r="P189" s="49"/>
      <c r="Q189" s="49"/>
      <c r="R189" s="72"/>
      <c r="S189" s="49"/>
      <c r="T189" s="49"/>
      <c r="U189" s="49"/>
      <c r="V189" s="49"/>
      <c r="W189" s="49"/>
      <c r="X189" s="49"/>
      <c r="Y189" s="49"/>
      <c r="Z189" s="49"/>
      <c r="AA189" s="49"/>
      <c r="AB189" s="49"/>
      <c r="AC189" s="49">
        <f t="shared" si="73"/>
        <v>0</v>
      </c>
      <c r="AD189" s="49"/>
      <c r="AE189" s="49"/>
      <c r="AF189" s="49"/>
      <c r="AG189" s="49"/>
      <c r="AH189" s="49"/>
      <c r="AI189" s="49"/>
      <c r="AJ189" s="49"/>
      <c r="AK189" s="49"/>
      <c r="AL189" s="49"/>
      <c r="AM189" s="49"/>
      <c r="AN189" s="49"/>
      <c r="AO189" s="49"/>
      <c r="AP189" s="42"/>
      <c r="AQ189" s="49"/>
      <c r="AR189" s="49"/>
      <c r="AS189" s="49"/>
      <c r="AT189" s="49"/>
      <c r="AU189" s="49"/>
      <c r="AV189" s="49"/>
      <c r="AW189" s="49"/>
      <c r="AX189" s="49"/>
      <c r="AY189" s="49"/>
      <c r="AZ189" s="73">
        <f t="shared" si="71"/>
        <v>0</v>
      </c>
    </row>
    <row r="190" spans="1:52" ht="20.100000000000001" hidden="1" customHeight="1">
      <c r="A190" s="68"/>
      <c r="B190" s="69"/>
      <c r="C190" s="240" t="s">
        <v>361</v>
      </c>
      <c r="D190" s="240"/>
      <c r="E190" s="241"/>
      <c r="F190" s="70"/>
      <c r="G190" s="71"/>
      <c r="H190" s="71"/>
      <c r="I190" s="71"/>
      <c r="J190" s="240" t="s">
        <v>159</v>
      </c>
      <c r="K190" s="241"/>
      <c r="L190" s="49">
        <v>3220000</v>
      </c>
      <c r="M190" s="49">
        <v>644000</v>
      </c>
      <c r="N190" s="49">
        <v>640000</v>
      </c>
      <c r="O190" s="49"/>
      <c r="P190" s="49"/>
      <c r="Q190" s="49">
        <f>SUM(N190:P190)</f>
        <v>640000</v>
      </c>
      <c r="R190" s="72">
        <f>Q190/M190*100</f>
        <v>99.378881987577643</v>
      </c>
      <c r="S190" s="49">
        <f>M190-Q190</f>
        <v>4000</v>
      </c>
      <c r="T190" s="49">
        <v>644000</v>
      </c>
      <c r="U190" s="49">
        <f>T190+M190</f>
        <v>1288000</v>
      </c>
      <c r="V190" s="49">
        <f>T190+S190</f>
        <v>648000</v>
      </c>
      <c r="W190" s="49"/>
      <c r="X190" s="49"/>
      <c r="Y190" s="49"/>
      <c r="Z190" s="49"/>
      <c r="AA190" s="49">
        <v>1288000</v>
      </c>
      <c r="AB190" s="49">
        <v>3220000</v>
      </c>
      <c r="AC190" s="49">
        <f t="shared" si="73"/>
        <v>0</v>
      </c>
      <c r="AD190" s="49">
        <f>AA190+T190+M190</f>
        <v>2576000</v>
      </c>
      <c r="AE190" s="49"/>
      <c r="AF190" s="49"/>
      <c r="AG190" s="49">
        <f>640000+540000</f>
        <v>1180000</v>
      </c>
      <c r="AH190" s="49"/>
      <c r="AI190" s="49"/>
      <c r="AJ190" s="49">
        <v>0</v>
      </c>
      <c r="AK190" s="49">
        <f>Z190+Y190+X190+W190+N190+AG190+AJ190+AI190+AH190</f>
        <v>1820000</v>
      </c>
      <c r="AL190" s="49">
        <f>AK190/AD190*100</f>
        <v>70.652173913043484</v>
      </c>
      <c r="AM190" s="49"/>
      <c r="AN190" s="49">
        <v>700000</v>
      </c>
      <c r="AO190" s="49"/>
      <c r="AP190" s="42">
        <v>700000</v>
      </c>
      <c r="AQ190" s="49">
        <f>AK190+AM190+AN190+AO190+AP190</f>
        <v>3220000</v>
      </c>
      <c r="AR190" s="49">
        <f>AQ190/AB190*100</f>
        <v>100</v>
      </c>
      <c r="AS190" s="49">
        <f>AB190-AQ190</f>
        <v>0</v>
      </c>
      <c r="AT190" s="49">
        <v>3091500</v>
      </c>
      <c r="AU190" s="49">
        <f>AT190+U190</f>
        <v>4379500</v>
      </c>
      <c r="AV190" s="49">
        <f>AK190</f>
        <v>1820000</v>
      </c>
      <c r="AW190" s="72">
        <f>AV190/AU190*100</f>
        <v>41.557255394451417</v>
      </c>
      <c r="AX190" s="49">
        <f>AU190-AV190</f>
        <v>2559500</v>
      </c>
      <c r="AY190" s="49">
        <f>AS190/AB190*100</f>
        <v>0</v>
      </c>
      <c r="AZ190" s="73">
        <f t="shared" si="71"/>
        <v>3220000</v>
      </c>
    </row>
    <row r="191" spans="1:52" ht="20.100000000000001" hidden="1" customHeight="1">
      <c r="A191" s="68"/>
      <c r="B191" s="69"/>
      <c r="C191" s="240" t="s">
        <v>362</v>
      </c>
      <c r="D191" s="240"/>
      <c r="E191" s="241"/>
      <c r="F191" s="70"/>
      <c r="G191" s="71"/>
      <c r="H191" s="71"/>
      <c r="I191" s="71"/>
      <c r="J191" s="240" t="s">
        <v>207</v>
      </c>
      <c r="K191" s="241"/>
      <c r="L191" s="49">
        <v>41455000</v>
      </c>
      <c r="M191" s="49">
        <v>0</v>
      </c>
      <c r="N191" s="49"/>
      <c r="O191" s="49"/>
      <c r="P191" s="49"/>
      <c r="Q191" s="49">
        <f>SUM(N191:P191)</f>
        <v>0</v>
      </c>
      <c r="R191" s="72"/>
      <c r="S191" s="49">
        <f>M191-Q191</f>
        <v>0</v>
      </c>
      <c r="T191" s="49">
        <v>1140000</v>
      </c>
      <c r="U191" s="49">
        <f>T191+M191</f>
        <v>1140000</v>
      </c>
      <c r="V191" s="49">
        <f>T191+S191</f>
        <v>1140000</v>
      </c>
      <c r="W191" s="49">
        <v>1000000</v>
      </c>
      <c r="X191" s="49"/>
      <c r="Y191" s="49"/>
      <c r="Z191" s="49"/>
      <c r="AA191" s="49">
        <v>4940000</v>
      </c>
      <c r="AB191" s="49">
        <v>41455000</v>
      </c>
      <c r="AC191" s="49">
        <f t="shared" si="73"/>
        <v>0</v>
      </c>
      <c r="AD191" s="49">
        <f>AA191+T191+M191</f>
        <v>6080000</v>
      </c>
      <c r="AE191" s="49"/>
      <c r="AF191" s="49"/>
      <c r="AG191" s="49">
        <f>1900000+1150000</f>
        <v>3050000</v>
      </c>
      <c r="AH191" s="49"/>
      <c r="AI191" s="49"/>
      <c r="AJ191" s="49">
        <v>0</v>
      </c>
      <c r="AK191" s="49">
        <f>Z191+Y191+X191+W191+N191+AG191+AJ191+AI191+AH191</f>
        <v>4050000</v>
      </c>
      <c r="AL191" s="49">
        <f>AK191/AD191*100</f>
        <v>66.61184210526315</v>
      </c>
      <c r="AM191" s="49"/>
      <c r="AN191" s="49">
        <v>3306000</v>
      </c>
      <c r="AO191" s="49"/>
      <c r="AP191" s="42">
        <v>34099000</v>
      </c>
      <c r="AQ191" s="49">
        <f>AK191+AM191+AN191+AO191+AP191</f>
        <v>41455000</v>
      </c>
      <c r="AR191" s="49">
        <f>AQ191/AB191*100</f>
        <v>100</v>
      </c>
      <c r="AS191" s="49">
        <f>AB191-AQ191</f>
        <v>0</v>
      </c>
      <c r="AT191" s="49">
        <v>3091500</v>
      </c>
      <c r="AU191" s="49">
        <f>AT191+U191</f>
        <v>4231500</v>
      </c>
      <c r="AV191" s="49">
        <f>AK191</f>
        <v>4050000</v>
      </c>
      <c r="AW191" s="72">
        <f>AV191/AU191*100</f>
        <v>95.710740872031195</v>
      </c>
      <c r="AX191" s="49">
        <f>AU191-AV191</f>
        <v>181500</v>
      </c>
      <c r="AY191" s="49">
        <f>AS191/AB191*100</f>
        <v>0</v>
      </c>
      <c r="AZ191" s="73">
        <f t="shared" si="71"/>
        <v>41455000</v>
      </c>
    </row>
    <row r="192" spans="1:52" ht="20.100000000000001" customHeight="1">
      <c r="A192" s="60" t="s">
        <v>363</v>
      </c>
      <c r="B192" s="75"/>
      <c r="C192" s="247" t="s">
        <v>317</v>
      </c>
      <c r="D192" s="247"/>
      <c r="E192" s="248"/>
      <c r="F192" s="249" t="s">
        <v>364</v>
      </c>
      <c r="G192" s="250"/>
      <c r="H192" s="250"/>
      <c r="I192" s="250"/>
      <c r="J192" s="250"/>
      <c r="K192" s="251"/>
      <c r="L192" s="48">
        <f>L193+L200+L221+L225+L248</f>
        <v>1265000000</v>
      </c>
      <c r="M192" s="48">
        <f>M193+M200+M221+M225+M248</f>
        <v>0</v>
      </c>
      <c r="N192" s="48">
        <f>N193+N200+N221+N225+N248</f>
        <v>0</v>
      </c>
      <c r="O192" s="48">
        <f>O193+O200+O221+O225+O248</f>
        <v>0</v>
      </c>
      <c r="P192" s="48">
        <f>P193+P200+P221+P225+P248</f>
        <v>0</v>
      </c>
      <c r="Q192" s="48">
        <f>SUM(N192:P192)</f>
        <v>0</v>
      </c>
      <c r="R192" s="61"/>
      <c r="S192" s="48">
        <f>M192-Q192</f>
        <v>0</v>
      </c>
      <c r="T192" s="48">
        <f>T193+T200+T221+T225+T248</f>
        <v>297000000</v>
      </c>
      <c r="U192" s="48">
        <f>T192+M192</f>
        <v>297000000</v>
      </c>
      <c r="V192" s="48">
        <f>T192+S192</f>
        <v>297000000</v>
      </c>
      <c r="W192" s="48">
        <f>W193+W200+W221+W225+W248</f>
        <v>0</v>
      </c>
      <c r="X192" s="48">
        <f>X193+X200+X221+X225+X248</f>
        <v>0</v>
      </c>
      <c r="Y192" s="48">
        <f>Y193+Y200+Y221+Y225+Y248</f>
        <v>0</v>
      </c>
      <c r="Z192" s="48"/>
      <c r="AA192" s="48">
        <f>AA193+AA200+AA221+AA225+AA248</f>
        <v>477860000</v>
      </c>
      <c r="AB192" s="48">
        <f>AB193+AB200+AB221+AB225+AB248</f>
        <v>1265000000</v>
      </c>
      <c r="AC192" s="48">
        <f t="shared" si="73"/>
        <v>0</v>
      </c>
      <c r="AD192" s="48">
        <f>AA192+T192+M192</f>
        <v>774860000</v>
      </c>
      <c r="AE192" s="48">
        <f t="shared" ref="AE192:AK192" si="74">AE193+AE200+AE221+AE225+AE248</f>
        <v>47878000</v>
      </c>
      <c r="AF192" s="48">
        <f t="shared" si="74"/>
        <v>218423400</v>
      </c>
      <c r="AG192" s="48">
        <f t="shared" si="74"/>
        <v>0</v>
      </c>
      <c r="AH192" s="48">
        <f t="shared" si="74"/>
        <v>388838175</v>
      </c>
      <c r="AI192" s="48">
        <f t="shared" si="74"/>
        <v>0</v>
      </c>
      <c r="AJ192" s="48">
        <f t="shared" si="74"/>
        <v>0</v>
      </c>
      <c r="AK192" s="48">
        <f t="shared" si="74"/>
        <v>655139575</v>
      </c>
      <c r="AL192" s="48">
        <f>AK192/AB192*100</f>
        <v>51.789689723320151</v>
      </c>
      <c r="AM192" s="48">
        <f>AM193+AM200+AM221+AM225+AM248</f>
        <v>478000000</v>
      </c>
      <c r="AN192" s="48">
        <f>AN193+AN200+AN221+AN225+AN248</f>
        <v>0</v>
      </c>
      <c r="AO192" s="48">
        <f>AO193+AO200+AO221+AO225+AO248</f>
        <v>18018350</v>
      </c>
      <c r="AP192" s="48">
        <f>AP193+AP200+AP221+AP225+AP248</f>
        <v>0</v>
      </c>
      <c r="AQ192" s="48">
        <f>AK192+AM192+AN192+AO192+AP192</f>
        <v>1151157925</v>
      </c>
      <c r="AR192" s="48">
        <f>AQ192/AB192*100</f>
        <v>91.000626482213448</v>
      </c>
      <c r="AS192" s="48">
        <f>AB192-AQ192</f>
        <v>113842075</v>
      </c>
      <c r="AT192" s="48">
        <v>120767500</v>
      </c>
      <c r="AU192" s="48">
        <f>AT192+U192</f>
        <v>417767500</v>
      </c>
      <c r="AV192" s="48">
        <f>AK192</f>
        <v>655139575</v>
      </c>
      <c r="AW192" s="61">
        <f>AV192/AU192*100</f>
        <v>156.81918172189074</v>
      </c>
      <c r="AX192" s="48">
        <f>AU192-AV192</f>
        <v>-237372075</v>
      </c>
      <c r="AY192" s="48">
        <f>AS192/AB192*100</f>
        <v>8.9993735177865624</v>
      </c>
      <c r="AZ192" s="73">
        <f t="shared" si="71"/>
        <v>1133139575</v>
      </c>
    </row>
    <row r="193" spans="1:53" ht="20.100000000000001" customHeight="1">
      <c r="A193" s="62">
        <v>15</v>
      </c>
      <c r="B193" s="63"/>
      <c r="C193" s="242" t="s">
        <v>365</v>
      </c>
      <c r="D193" s="242"/>
      <c r="E193" s="243"/>
      <c r="F193" s="64"/>
      <c r="G193" s="244" t="s">
        <v>366</v>
      </c>
      <c r="H193" s="244"/>
      <c r="I193" s="244"/>
      <c r="J193" s="244"/>
      <c r="K193" s="245"/>
      <c r="L193" s="65">
        <f>SUM(L196:L199)</f>
        <v>50000000</v>
      </c>
      <c r="M193" s="65">
        <f>SUM(M196:M199)</f>
        <v>0</v>
      </c>
      <c r="N193" s="65">
        <f>SUM(N196:N199)</f>
        <v>0</v>
      </c>
      <c r="O193" s="65">
        <f>SUM(O196:O199)</f>
        <v>0</v>
      </c>
      <c r="P193" s="65">
        <f>SUM(P196:P199)</f>
        <v>0</v>
      </c>
      <c r="Q193" s="65">
        <f>SUM(N193:P193)</f>
        <v>0</v>
      </c>
      <c r="R193" s="66"/>
      <c r="S193" s="65">
        <f>M193-Q193</f>
        <v>0</v>
      </c>
      <c r="T193" s="65">
        <f>SUM(T196:T199)</f>
        <v>50000000</v>
      </c>
      <c r="U193" s="65">
        <f>T193+M193</f>
        <v>50000000</v>
      </c>
      <c r="V193" s="65">
        <f>T193+S193</f>
        <v>50000000</v>
      </c>
      <c r="W193" s="65">
        <f>SUM(W196:W199)</f>
        <v>0</v>
      </c>
      <c r="X193" s="65">
        <f>SUM(X196:X199)</f>
        <v>0</v>
      </c>
      <c r="Y193" s="65">
        <f>SUM(Y196:Y199)</f>
        <v>0</v>
      </c>
      <c r="Z193" s="65"/>
      <c r="AA193" s="65">
        <f>SUM(AA196:AA199)</f>
        <v>0</v>
      </c>
      <c r="AB193" s="65">
        <f>SUM(AB196:AB199)</f>
        <v>50000000</v>
      </c>
      <c r="AC193" s="65">
        <f t="shared" si="73"/>
        <v>0</v>
      </c>
      <c r="AD193" s="65">
        <f>AA193+T193+M193</f>
        <v>50000000</v>
      </c>
      <c r="AE193" s="65">
        <f t="shared" ref="AE193:AK193" si="75">SUM(AE196:AE199)</f>
        <v>47878000</v>
      </c>
      <c r="AF193" s="65">
        <f t="shared" si="75"/>
        <v>0</v>
      </c>
      <c r="AG193" s="65">
        <f t="shared" si="75"/>
        <v>0</v>
      </c>
      <c r="AH193" s="65">
        <f t="shared" si="75"/>
        <v>0</v>
      </c>
      <c r="AI193" s="65">
        <f t="shared" si="75"/>
        <v>0</v>
      </c>
      <c r="AJ193" s="65">
        <f t="shared" si="75"/>
        <v>0</v>
      </c>
      <c r="AK193" s="65">
        <f t="shared" si="75"/>
        <v>47878000</v>
      </c>
      <c r="AL193" s="65">
        <f>AK193/AB193*100</f>
        <v>95.756</v>
      </c>
      <c r="AM193" s="65">
        <f>SUM(AM196:AM199)</f>
        <v>0</v>
      </c>
      <c r="AN193" s="65">
        <f>SUM(AN196:AN199)</f>
        <v>0</v>
      </c>
      <c r="AO193" s="42">
        <f>SUM(AO196:AO199)</f>
        <v>1443100</v>
      </c>
      <c r="AP193" s="65">
        <f>SUM(AP196:AP199)</f>
        <v>0</v>
      </c>
      <c r="AQ193" s="65">
        <f>AK193+AM193+AN193+AO193+AP193</f>
        <v>49321100</v>
      </c>
      <c r="AR193" s="65">
        <f>AQ193/AB193*100</f>
        <v>98.642200000000003</v>
      </c>
      <c r="AS193" s="65">
        <f>AB193-AQ193</f>
        <v>678900</v>
      </c>
      <c r="AT193" s="65">
        <f>SUM(AT196:AT202)</f>
        <v>18549000</v>
      </c>
      <c r="AU193" s="65">
        <f>AT193+U193</f>
        <v>68549000</v>
      </c>
      <c r="AV193" s="65">
        <f>AK193</f>
        <v>47878000</v>
      </c>
      <c r="AW193" s="66">
        <f>AV193/AU193*100</f>
        <v>69.844928445345673</v>
      </c>
      <c r="AX193" s="65">
        <f>AU193-AV193</f>
        <v>20671000</v>
      </c>
      <c r="AY193" s="65">
        <f>AS193/AB193*100</f>
        <v>1.3577999999999999</v>
      </c>
      <c r="AZ193" s="67">
        <f t="shared" si="71"/>
        <v>47878000</v>
      </c>
      <c r="BA193" s="29">
        <f>AS193</f>
        <v>678900</v>
      </c>
    </row>
    <row r="194" spans="1:53" ht="20.100000000000001" hidden="1" customHeight="1">
      <c r="A194" s="68"/>
      <c r="B194" s="69"/>
      <c r="C194" s="240" t="s">
        <v>367</v>
      </c>
      <c r="D194" s="240"/>
      <c r="E194" s="241"/>
      <c r="F194" s="70"/>
      <c r="G194" s="71"/>
      <c r="H194" s="240" t="s">
        <v>270</v>
      </c>
      <c r="I194" s="240"/>
      <c r="J194" s="240"/>
      <c r="K194" s="241"/>
      <c r="L194" s="49"/>
      <c r="M194" s="49"/>
      <c r="N194" s="49"/>
      <c r="O194" s="49"/>
      <c r="P194" s="49"/>
      <c r="Q194" s="49"/>
      <c r="R194" s="72"/>
      <c r="S194" s="49"/>
      <c r="T194" s="49"/>
      <c r="U194" s="49"/>
      <c r="V194" s="49"/>
      <c r="W194" s="49"/>
      <c r="X194" s="49"/>
      <c r="Y194" s="49"/>
      <c r="Z194" s="49"/>
      <c r="AA194" s="49"/>
      <c r="AB194" s="49"/>
      <c r="AC194" s="49">
        <f t="shared" si="73"/>
        <v>0</v>
      </c>
      <c r="AD194" s="49"/>
      <c r="AE194" s="49"/>
      <c r="AF194" s="49"/>
      <c r="AG194" s="49"/>
      <c r="AH194" s="49"/>
      <c r="AI194" s="49"/>
      <c r="AJ194" s="49"/>
      <c r="AK194" s="49"/>
      <c r="AL194" s="49"/>
      <c r="AM194" s="49"/>
      <c r="AN194" s="49"/>
      <c r="AO194" s="49"/>
      <c r="AP194" s="49"/>
      <c r="AQ194" s="49"/>
      <c r="AR194" s="49"/>
      <c r="AS194" s="49"/>
      <c r="AT194" s="49"/>
      <c r="AU194" s="49"/>
      <c r="AV194" s="49"/>
      <c r="AW194" s="49"/>
      <c r="AX194" s="49"/>
      <c r="AY194" s="49"/>
      <c r="AZ194" s="73">
        <f t="shared" si="71"/>
        <v>0</v>
      </c>
    </row>
    <row r="195" spans="1:53" ht="20.100000000000001" hidden="1" customHeight="1">
      <c r="A195" s="68"/>
      <c r="B195" s="69"/>
      <c r="C195" s="240" t="s">
        <v>368</v>
      </c>
      <c r="D195" s="240"/>
      <c r="E195" s="241"/>
      <c r="F195" s="70"/>
      <c r="G195" s="71"/>
      <c r="H195" s="71"/>
      <c r="I195" s="240" t="s">
        <v>369</v>
      </c>
      <c r="J195" s="240"/>
      <c r="K195" s="241"/>
      <c r="L195" s="49"/>
      <c r="M195" s="49"/>
      <c r="N195" s="49"/>
      <c r="O195" s="49"/>
      <c r="P195" s="49"/>
      <c r="Q195" s="49"/>
      <c r="R195" s="72"/>
      <c r="S195" s="49"/>
      <c r="T195" s="49"/>
      <c r="U195" s="49"/>
      <c r="V195" s="49"/>
      <c r="W195" s="49"/>
      <c r="X195" s="49"/>
      <c r="Y195" s="49"/>
      <c r="Z195" s="49"/>
      <c r="AA195" s="49"/>
      <c r="AB195" s="49"/>
      <c r="AC195" s="49">
        <f t="shared" si="73"/>
        <v>0</v>
      </c>
      <c r="AD195" s="49"/>
      <c r="AE195" s="49"/>
      <c r="AF195" s="49"/>
      <c r="AG195" s="49"/>
      <c r="AH195" s="49"/>
      <c r="AI195" s="49"/>
      <c r="AJ195" s="49"/>
      <c r="AK195" s="49"/>
      <c r="AL195" s="49"/>
      <c r="AM195" s="49"/>
      <c r="AN195" s="49"/>
      <c r="AO195" s="49"/>
      <c r="AP195" s="49"/>
      <c r="AQ195" s="49"/>
      <c r="AR195" s="49"/>
      <c r="AS195" s="49"/>
      <c r="AT195" s="49"/>
      <c r="AU195" s="49"/>
      <c r="AV195" s="49"/>
      <c r="AW195" s="49"/>
      <c r="AX195" s="49"/>
      <c r="AY195" s="49"/>
      <c r="AZ195" s="73">
        <f t="shared" si="71"/>
        <v>0</v>
      </c>
    </row>
    <row r="196" spans="1:53" ht="20.100000000000001" hidden="1" customHeight="1">
      <c r="A196" s="68"/>
      <c r="B196" s="69"/>
      <c r="C196" s="240" t="s">
        <v>370</v>
      </c>
      <c r="D196" s="240"/>
      <c r="E196" s="241"/>
      <c r="F196" s="70"/>
      <c r="G196" s="71"/>
      <c r="H196" s="71"/>
      <c r="I196" s="71"/>
      <c r="J196" s="240" t="s">
        <v>371</v>
      </c>
      <c r="K196" s="241"/>
      <c r="L196" s="49">
        <v>48556900</v>
      </c>
      <c r="M196" s="49">
        <v>0</v>
      </c>
      <c r="N196" s="49"/>
      <c r="O196" s="49"/>
      <c r="P196" s="49"/>
      <c r="Q196" s="49">
        <f>SUM(N196:P196)</f>
        <v>0</v>
      </c>
      <c r="R196" s="72"/>
      <c r="S196" s="49">
        <f>M196-Q196</f>
        <v>0</v>
      </c>
      <c r="T196" s="49">
        <v>48556900</v>
      </c>
      <c r="U196" s="49">
        <f>T196+M196</f>
        <v>48556900</v>
      </c>
      <c r="V196" s="49">
        <f>T196+S196</f>
        <v>48556900</v>
      </c>
      <c r="W196" s="49"/>
      <c r="X196" s="49"/>
      <c r="Y196" s="49"/>
      <c r="Z196" s="49"/>
      <c r="AA196" s="49">
        <v>0</v>
      </c>
      <c r="AB196" s="49">
        <v>48556900</v>
      </c>
      <c r="AC196" s="49">
        <f t="shared" si="73"/>
        <v>0</v>
      </c>
      <c r="AD196" s="49">
        <f>AA196+T196+M196</f>
        <v>48556900</v>
      </c>
      <c r="AE196" s="49">
        <v>47878000</v>
      </c>
      <c r="AF196" s="49">
        <v>0</v>
      </c>
      <c r="AG196" s="49"/>
      <c r="AH196" s="49"/>
      <c r="AI196" s="49"/>
      <c r="AJ196" s="49"/>
      <c r="AK196" s="49">
        <f>Z196+Y196+X196+W196+N196+AG196+AE196+AH196+AI196+AJ196</f>
        <v>47878000</v>
      </c>
      <c r="AL196" s="49">
        <f>AK196/AD196*100</f>
        <v>98.601846493495259</v>
      </c>
      <c r="AM196" s="49"/>
      <c r="AN196" s="49"/>
      <c r="AO196" s="49"/>
      <c r="AP196" s="49"/>
      <c r="AQ196" s="49">
        <f>AK196+AM196+AN196+AO196+AP196</f>
        <v>47878000</v>
      </c>
      <c r="AR196" s="49">
        <f>AQ196/AB196*100</f>
        <v>98.601846493495259</v>
      </c>
      <c r="AS196" s="49">
        <f>AB196-AQ196</f>
        <v>678900</v>
      </c>
      <c r="AT196" s="49">
        <v>3091500</v>
      </c>
      <c r="AU196" s="49">
        <f>AT196+U196</f>
        <v>51648400</v>
      </c>
      <c r="AV196" s="49">
        <f>AK196</f>
        <v>47878000</v>
      </c>
      <c r="AW196" s="72">
        <f>AV196/AU196*100</f>
        <v>92.699870663950861</v>
      </c>
      <c r="AX196" s="49">
        <f>AU196-AV196</f>
        <v>3770400</v>
      </c>
      <c r="AY196" s="49">
        <f>AS196/AB196*100</f>
        <v>1.3981535065047397</v>
      </c>
      <c r="AZ196" s="73">
        <f t="shared" si="71"/>
        <v>47878000</v>
      </c>
    </row>
    <row r="197" spans="1:53" ht="20.100000000000001" hidden="1" customHeight="1">
      <c r="A197" s="68"/>
      <c r="B197" s="69"/>
      <c r="C197" s="240" t="s">
        <v>372</v>
      </c>
      <c r="D197" s="240"/>
      <c r="E197" s="241"/>
      <c r="F197" s="70"/>
      <c r="G197" s="71"/>
      <c r="H197" s="71"/>
      <c r="I197" s="240" t="s">
        <v>373</v>
      </c>
      <c r="J197" s="240"/>
      <c r="K197" s="241"/>
      <c r="L197" s="49"/>
      <c r="M197" s="49"/>
      <c r="N197" s="49"/>
      <c r="O197" s="49"/>
      <c r="P197" s="49"/>
      <c r="Q197" s="49"/>
      <c r="R197" s="72"/>
      <c r="S197" s="49"/>
      <c r="T197" s="49"/>
      <c r="U197" s="49"/>
      <c r="V197" s="49"/>
      <c r="W197" s="49"/>
      <c r="X197" s="49"/>
      <c r="Y197" s="49"/>
      <c r="Z197" s="49"/>
      <c r="AA197" s="49"/>
      <c r="AB197" s="49"/>
      <c r="AC197" s="49">
        <f t="shared" si="73"/>
        <v>0</v>
      </c>
      <c r="AD197" s="49"/>
      <c r="AE197" s="49"/>
      <c r="AF197" s="49"/>
      <c r="AG197" s="49"/>
      <c r="AH197" s="49"/>
      <c r="AI197" s="49"/>
      <c r="AJ197" s="49"/>
      <c r="AK197" s="49"/>
      <c r="AL197" s="49"/>
      <c r="AM197" s="49"/>
      <c r="AN197" s="49"/>
      <c r="AO197" s="49"/>
      <c r="AP197" s="49"/>
      <c r="AQ197" s="49"/>
      <c r="AR197" s="49"/>
      <c r="AS197" s="49"/>
      <c r="AT197" s="49"/>
      <c r="AU197" s="49"/>
      <c r="AV197" s="49"/>
      <c r="AW197" s="49"/>
      <c r="AX197" s="49"/>
      <c r="AY197" s="49"/>
      <c r="AZ197" s="73">
        <f t="shared" si="71"/>
        <v>0</v>
      </c>
    </row>
    <row r="198" spans="1:53" ht="20.100000000000001" hidden="1" customHeight="1">
      <c r="A198" s="68"/>
      <c r="B198" s="69"/>
      <c r="C198" s="240" t="s">
        <v>374</v>
      </c>
      <c r="D198" s="240"/>
      <c r="E198" s="241"/>
      <c r="F198" s="70"/>
      <c r="G198" s="71"/>
      <c r="H198" s="71"/>
      <c r="I198" s="71"/>
      <c r="J198" s="240" t="s">
        <v>375</v>
      </c>
      <c r="K198" s="241"/>
      <c r="L198" s="49">
        <v>1443100</v>
      </c>
      <c r="M198" s="49">
        <v>0</v>
      </c>
      <c r="N198" s="49"/>
      <c r="O198" s="49"/>
      <c r="P198" s="49"/>
      <c r="Q198" s="49">
        <f>SUM(N198:P198)</f>
        <v>0</v>
      </c>
      <c r="R198" s="72"/>
      <c r="S198" s="49">
        <f>M198-Q198</f>
        <v>0</v>
      </c>
      <c r="T198" s="49">
        <v>1443100</v>
      </c>
      <c r="U198" s="49">
        <f>T198+M198</f>
        <v>1443100</v>
      </c>
      <c r="V198" s="49">
        <f>T198+S198</f>
        <v>1443100</v>
      </c>
      <c r="W198" s="49"/>
      <c r="X198" s="49"/>
      <c r="Y198" s="49"/>
      <c r="Z198" s="49"/>
      <c r="AA198" s="49">
        <v>0</v>
      </c>
      <c r="AB198" s="49">
        <v>1443100</v>
      </c>
      <c r="AC198" s="49">
        <f t="shared" si="73"/>
        <v>0</v>
      </c>
      <c r="AD198" s="49">
        <f>AA198+T198+M198</f>
        <v>1443100</v>
      </c>
      <c r="AE198" s="49"/>
      <c r="AF198" s="49"/>
      <c r="AG198" s="49"/>
      <c r="AH198" s="49"/>
      <c r="AI198" s="49"/>
      <c r="AJ198" s="49"/>
      <c r="AK198" s="49">
        <f>Z198+Y198+X198+W198+N198+AG198+AJ198+AI198+AH198</f>
        <v>0</v>
      </c>
      <c r="AL198" s="49">
        <f>AK198/AD198*100</f>
        <v>0</v>
      </c>
      <c r="AM198" s="49"/>
      <c r="AN198" s="49"/>
      <c r="AO198" s="42">
        <f>795000+175600+472500</f>
        <v>1443100</v>
      </c>
      <c r="AP198" s="49"/>
      <c r="AQ198" s="49">
        <f>AK198+AM198+AN198+AO198+AP198</f>
        <v>1443100</v>
      </c>
      <c r="AR198" s="49">
        <f>AQ198/AB198*100</f>
        <v>100</v>
      </c>
      <c r="AS198" s="49">
        <f>AB198-AQ198</f>
        <v>0</v>
      </c>
      <c r="AT198" s="49">
        <v>3091500</v>
      </c>
      <c r="AU198" s="49">
        <f>AT198+U198</f>
        <v>4534600</v>
      </c>
      <c r="AV198" s="49">
        <f>AK198</f>
        <v>0</v>
      </c>
      <c r="AW198" s="72">
        <f>AV198/AU198*100</f>
        <v>0</v>
      </c>
      <c r="AX198" s="49">
        <f>AU198-AV198</f>
        <v>4534600</v>
      </c>
      <c r="AY198" s="49">
        <f>AS198/AB198*100</f>
        <v>0</v>
      </c>
      <c r="AZ198" s="73">
        <f t="shared" si="71"/>
        <v>0</v>
      </c>
    </row>
    <row r="199" spans="1:53" ht="20.100000000000001" hidden="1" customHeight="1">
      <c r="A199" s="68"/>
      <c r="B199" s="69"/>
      <c r="C199" s="240" t="s">
        <v>376</v>
      </c>
      <c r="D199" s="240"/>
      <c r="E199" s="241"/>
      <c r="F199" s="70"/>
      <c r="G199" s="71"/>
      <c r="H199" s="71"/>
      <c r="I199" s="71"/>
      <c r="J199" s="240" t="s">
        <v>377</v>
      </c>
      <c r="K199" s="241"/>
      <c r="L199" s="49"/>
      <c r="M199" s="49"/>
      <c r="N199" s="49"/>
      <c r="O199" s="49"/>
      <c r="P199" s="49"/>
      <c r="Q199" s="49"/>
      <c r="R199" s="72"/>
      <c r="S199" s="49"/>
      <c r="T199" s="49"/>
      <c r="U199" s="49"/>
      <c r="V199" s="49"/>
      <c r="W199" s="49"/>
      <c r="X199" s="49"/>
      <c r="Y199" s="49"/>
      <c r="Z199" s="49"/>
      <c r="AA199" s="49"/>
      <c r="AB199" s="49"/>
      <c r="AC199" s="49">
        <f t="shared" si="73"/>
        <v>0</v>
      </c>
      <c r="AD199" s="49"/>
      <c r="AE199" s="49"/>
      <c r="AF199" s="49"/>
      <c r="AG199" s="49"/>
      <c r="AH199" s="49"/>
      <c r="AI199" s="49"/>
      <c r="AJ199" s="49"/>
      <c r="AK199" s="49"/>
      <c r="AL199" s="49"/>
      <c r="AM199" s="49"/>
      <c r="AN199" s="49"/>
      <c r="AO199" s="49"/>
      <c r="AP199" s="49"/>
      <c r="AQ199" s="49"/>
      <c r="AR199" s="49"/>
      <c r="AS199" s="49"/>
      <c r="AT199" s="49"/>
      <c r="AU199" s="49"/>
      <c r="AV199" s="49"/>
      <c r="AW199" s="49"/>
      <c r="AX199" s="49"/>
      <c r="AY199" s="49"/>
      <c r="AZ199" s="73">
        <f t="shared" si="71"/>
        <v>0</v>
      </c>
    </row>
    <row r="200" spans="1:53" ht="20.100000000000001" customHeight="1">
      <c r="A200" s="62">
        <v>16</v>
      </c>
      <c r="B200" s="63"/>
      <c r="C200" s="242" t="s">
        <v>378</v>
      </c>
      <c r="D200" s="242"/>
      <c r="E200" s="243"/>
      <c r="F200" s="64"/>
      <c r="G200" s="244" t="s">
        <v>379</v>
      </c>
      <c r="H200" s="244"/>
      <c r="I200" s="244"/>
      <c r="J200" s="244"/>
      <c r="K200" s="245"/>
      <c r="L200" s="65">
        <f>SUM(L203:L220)</f>
        <v>247000000</v>
      </c>
      <c r="M200" s="65">
        <f>SUM(M203:M220)</f>
        <v>0</v>
      </c>
      <c r="N200" s="65">
        <f>SUM(N203:N220)</f>
        <v>0</v>
      </c>
      <c r="O200" s="65">
        <f>SUM(O203:O220)</f>
        <v>0</v>
      </c>
      <c r="P200" s="65">
        <f>SUM(P203:P220)</f>
        <v>0</v>
      </c>
      <c r="Q200" s="65">
        <f>SUM(N200:P200)</f>
        <v>0</v>
      </c>
      <c r="R200" s="66"/>
      <c r="S200" s="65">
        <f>M200-Q200</f>
        <v>0</v>
      </c>
      <c r="T200" s="65">
        <f>SUM(T203:T220)</f>
        <v>247000000</v>
      </c>
      <c r="U200" s="65">
        <f>T200+M200</f>
        <v>247000000</v>
      </c>
      <c r="V200" s="65">
        <f>T200+S200</f>
        <v>247000000</v>
      </c>
      <c r="W200" s="65">
        <f>SUM(W203:W220)</f>
        <v>0</v>
      </c>
      <c r="X200" s="65">
        <f>SUM(X203:X220)</f>
        <v>0</v>
      </c>
      <c r="Y200" s="65">
        <f>SUM(Y203:Y220)</f>
        <v>0</v>
      </c>
      <c r="Z200" s="65"/>
      <c r="AA200" s="65">
        <f>SUM(AA203:AA220)</f>
        <v>0</v>
      </c>
      <c r="AB200" s="65">
        <f>SUM(AB203:AB220)</f>
        <v>247000000</v>
      </c>
      <c r="AC200" s="65">
        <f t="shared" si="73"/>
        <v>0</v>
      </c>
      <c r="AD200" s="65">
        <f>AA200+T200+M200</f>
        <v>247000000</v>
      </c>
      <c r="AE200" s="65">
        <f t="shared" ref="AE200:AJ200" si="76">SUM(AE203:AE220)</f>
        <v>0</v>
      </c>
      <c r="AF200" s="65">
        <f t="shared" si="76"/>
        <v>108306000</v>
      </c>
      <c r="AG200" s="65">
        <f t="shared" si="76"/>
        <v>0</v>
      </c>
      <c r="AH200" s="65">
        <f t="shared" si="76"/>
        <v>112149800</v>
      </c>
      <c r="AI200" s="65">
        <f t="shared" si="76"/>
        <v>0</v>
      </c>
      <c r="AJ200" s="65">
        <f t="shared" si="76"/>
        <v>0</v>
      </c>
      <c r="AK200" s="65">
        <f>SUM(AK203:AK220)</f>
        <v>220455800</v>
      </c>
      <c r="AL200" s="65">
        <f>AK200/AB200*100</f>
        <v>89.253360323886639</v>
      </c>
      <c r="AM200" s="65">
        <f>SUM(AM203:AM220)</f>
        <v>0</v>
      </c>
      <c r="AN200" s="65">
        <f>SUM(AN203:AN220)</f>
        <v>0</v>
      </c>
      <c r="AO200" s="65">
        <f>SUM(AO203:AO220)</f>
        <v>0</v>
      </c>
      <c r="AP200" s="65">
        <f>SUM(AP203:AP220)</f>
        <v>0</v>
      </c>
      <c r="AQ200" s="65">
        <f>AK200+AM200+AN200+AO200+AP200</f>
        <v>220455800</v>
      </c>
      <c r="AR200" s="65">
        <f>AQ200/AB200*100</f>
        <v>89.253360323886639</v>
      </c>
      <c r="AS200" s="65">
        <f>AB200-AQ200</f>
        <v>26544200</v>
      </c>
      <c r="AT200" s="65">
        <f>SUM(AT203:AT209)</f>
        <v>12366000</v>
      </c>
      <c r="AU200" s="65">
        <f>AT200+U200</f>
        <v>259366000</v>
      </c>
      <c r="AV200" s="65">
        <f>AK200</f>
        <v>220455800</v>
      </c>
      <c r="AW200" s="66">
        <f>AV200/AU200*100</f>
        <v>84.997956555600965</v>
      </c>
      <c r="AX200" s="65">
        <f>AU200-AV200</f>
        <v>38910200</v>
      </c>
      <c r="AY200" s="65">
        <f>AS200/AB200*100</f>
        <v>10.746639676113361</v>
      </c>
      <c r="AZ200" s="67">
        <f t="shared" si="71"/>
        <v>220455800</v>
      </c>
      <c r="BA200" s="29">
        <f>AS200</f>
        <v>26544200</v>
      </c>
    </row>
    <row r="201" spans="1:53" ht="20.100000000000001" hidden="1" customHeight="1">
      <c r="A201" s="68"/>
      <c r="B201" s="69"/>
      <c r="C201" s="240" t="s">
        <v>380</v>
      </c>
      <c r="D201" s="240"/>
      <c r="E201" s="241"/>
      <c r="F201" s="70"/>
      <c r="G201" s="71"/>
      <c r="H201" s="240" t="s">
        <v>10</v>
      </c>
      <c r="I201" s="240"/>
      <c r="J201" s="240"/>
      <c r="K201" s="241"/>
      <c r="L201" s="49"/>
      <c r="M201" s="49"/>
      <c r="N201" s="49"/>
      <c r="O201" s="49"/>
      <c r="P201" s="49"/>
      <c r="Q201" s="49"/>
      <c r="R201" s="72"/>
      <c r="S201" s="49"/>
      <c r="T201" s="49"/>
      <c r="U201" s="49"/>
      <c r="V201" s="49"/>
      <c r="W201" s="49"/>
      <c r="X201" s="49"/>
      <c r="Y201" s="49"/>
      <c r="Z201" s="49"/>
      <c r="AA201" s="49"/>
      <c r="AB201" s="49"/>
      <c r="AC201" s="49">
        <f t="shared" si="73"/>
        <v>0</v>
      </c>
      <c r="AD201" s="49"/>
      <c r="AE201" s="49"/>
      <c r="AF201" s="49"/>
      <c r="AG201" s="49"/>
      <c r="AH201" s="49"/>
      <c r="AI201" s="49"/>
      <c r="AJ201" s="49"/>
      <c r="AK201" s="49"/>
      <c r="AL201" s="49"/>
      <c r="AM201" s="49"/>
      <c r="AN201" s="49"/>
      <c r="AO201" s="49"/>
      <c r="AP201" s="49"/>
      <c r="AQ201" s="49"/>
      <c r="AR201" s="49"/>
      <c r="AS201" s="49"/>
      <c r="AT201" s="49"/>
      <c r="AU201" s="49"/>
      <c r="AV201" s="49"/>
      <c r="AW201" s="49"/>
      <c r="AX201" s="49"/>
      <c r="AY201" s="49"/>
      <c r="AZ201" s="73">
        <f t="shared" si="71"/>
        <v>0</v>
      </c>
    </row>
    <row r="202" spans="1:53" ht="20.100000000000001" hidden="1" customHeight="1">
      <c r="A202" s="68"/>
      <c r="B202" s="69"/>
      <c r="C202" s="240" t="s">
        <v>381</v>
      </c>
      <c r="D202" s="240"/>
      <c r="E202" s="241"/>
      <c r="F202" s="70"/>
      <c r="G202" s="71"/>
      <c r="H202" s="71"/>
      <c r="I202" s="240" t="s">
        <v>177</v>
      </c>
      <c r="J202" s="240"/>
      <c r="K202" s="241"/>
      <c r="L202" s="49"/>
      <c r="M202" s="49"/>
      <c r="N202" s="49"/>
      <c r="O202" s="49"/>
      <c r="P202" s="49"/>
      <c r="Q202" s="49"/>
      <c r="R202" s="72"/>
      <c r="S202" s="49"/>
      <c r="T202" s="49"/>
      <c r="U202" s="49"/>
      <c r="V202" s="49"/>
      <c r="W202" s="49"/>
      <c r="X202" s="49"/>
      <c r="Y202" s="49"/>
      <c r="Z202" s="49"/>
      <c r="AA202" s="49"/>
      <c r="AB202" s="49"/>
      <c r="AC202" s="49">
        <f t="shared" si="73"/>
        <v>0</v>
      </c>
      <c r="AD202" s="49"/>
      <c r="AE202" s="49"/>
      <c r="AF202" s="49"/>
      <c r="AG202" s="49"/>
      <c r="AH202" s="49"/>
      <c r="AI202" s="49"/>
      <c r="AJ202" s="49"/>
      <c r="AK202" s="49"/>
      <c r="AL202" s="49"/>
      <c r="AM202" s="49"/>
      <c r="AN202" s="49"/>
      <c r="AO202" s="49"/>
      <c r="AP202" s="49"/>
      <c r="AQ202" s="49"/>
      <c r="AR202" s="49"/>
      <c r="AS202" s="49"/>
      <c r="AT202" s="49"/>
      <c r="AU202" s="49"/>
      <c r="AV202" s="49"/>
      <c r="AW202" s="49"/>
      <c r="AX202" s="49"/>
      <c r="AY202" s="49"/>
      <c r="AZ202" s="73">
        <f t="shared" si="71"/>
        <v>0</v>
      </c>
    </row>
    <row r="203" spans="1:53" ht="20.100000000000001" hidden="1" customHeight="1">
      <c r="A203" s="68"/>
      <c r="B203" s="69"/>
      <c r="C203" s="240" t="s">
        <v>382</v>
      </c>
      <c r="D203" s="240"/>
      <c r="E203" s="241"/>
      <c r="F203" s="70"/>
      <c r="G203" s="71"/>
      <c r="H203" s="71"/>
      <c r="I203" s="71"/>
      <c r="J203" s="240" t="s">
        <v>283</v>
      </c>
      <c r="K203" s="241"/>
      <c r="L203" s="49">
        <v>7050000</v>
      </c>
      <c r="M203" s="49">
        <v>0</v>
      </c>
      <c r="N203" s="49"/>
      <c r="O203" s="49"/>
      <c r="P203" s="49"/>
      <c r="Q203" s="49">
        <f>SUM(N203:P203)</f>
        <v>0</v>
      </c>
      <c r="R203" s="72"/>
      <c r="S203" s="49">
        <f>M203-Q203</f>
        <v>0</v>
      </c>
      <c r="T203" s="49">
        <v>7050000</v>
      </c>
      <c r="U203" s="49">
        <f>T203+M203</f>
        <v>7050000</v>
      </c>
      <c r="V203" s="49">
        <f>T203+S203</f>
        <v>7050000</v>
      </c>
      <c r="W203" s="49"/>
      <c r="X203" s="49"/>
      <c r="Y203" s="49"/>
      <c r="Z203" s="49"/>
      <c r="AA203" s="49">
        <v>0</v>
      </c>
      <c r="AB203" s="49">
        <v>7050000</v>
      </c>
      <c r="AC203" s="49">
        <f t="shared" si="73"/>
        <v>0</v>
      </c>
      <c r="AD203" s="49">
        <f>AA203+T203+M203</f>
        <v>7050000</v>
      </c>
      <c r="AE203" s="49"/>
      <c r="AF203" s="49"/>
      <c r="AG203" s="49"/>
      <c r="AH203" s="49">
        <v>4700000</v>
      </c>
      <c r="AI203" s="49"/>
      <c r="AJ203" s="49"/>
      <c r="AK203" s="49">
        <f>Z203+Y203+X203+W203+N203+AG203+AJ203+AI203+AH203</f>
        <v>4700000</v>
      </c>
      <c r="AL203" s="49">
        <f>AK203/AD203*100</f>
        <v>66.666666666666657</v>
      </c>
      <c r="AM203" s="49"/>
      <c r="AN203" s="49"/>
      <c r="AO203" s="49"/>
      <c r="AP203" s="49"/>
      <c r="AQ203" s="49">
        <f>AK203+AM203+AN203+AO203+AP203</f>
        <v>4700000</v>
      </c>
      <c r="AR203" s="49">
        <f>AQ203/AB203*100</f>
        <v>66.666666666666657</v>
      </c>
      <c r="AS203" s="49">
        <f>AB203-AQ203</f>
        <v>2350000</v>
      </c>
      <c r="AT203" s="49">
        <v>3091500</v>
      </c>
      <c r="AU203" s="49">
        <f>AT203+U203</f>
        <v>10141500</v>
      </c>
      <c r="AV203" s="49">
        <f>AK203</f>
        <v>4700000</v>
      </c>
      <c r="AW203" s="72">
        <f>AV203/AU203*100</f>
        <v>46.344229157422475</v>
      </c>
      <c r="AX203" s="49">
        <f>AU203-AV203</f>
        <v>5441500</v>
      </c>
      <c r="AY203" s="49">
        <f>AS203/AB203*100</f>
        <v>33.333333333333329</v>
      </c>
      <c r="AZ203" s="73">
        <f t="shared" si="71"/>
        <v>4700000</v>
      </c>
    </row>
    <row r="204" spans="1:53" ht="20.100000000000001" hidden="1" customHeight="1">
      <c r="A204" s="68"/>
      <c r="B204" s="69"/>
      <c r="C204" s="240" t="s">
        <v>383</v>
      </c>
      <c r="D204" s="240"/>
      <c r="E204" s="241"/>
      <c r="F204" s="70"/>
      <c r="G204" s="71"/>
      <c r="H204" s="71"/>
      <c r="I204" s="71"/>
      <c r="J204" s="240" t="s">
        <v>384</v>
      </c>
      <c r="K204" s="241"/>
      <c r="L204" s="49">
        <v>1400000</v>
      </c>
      <c r="M204" s="49">
        <v>0</v>
      </c>
      <c r="N204" s="49"/>
      <c r="O204" s="49"/>
      <c r="P204" s="49"/>
      <c r="Q204" s="49">
        <f>SUM(N204:P204)</f>
        <v>0</v>
      </c>
      <c r="R204" s="72"/>
      <c r="S204" s="49">
        <f>M204-Q204</f>
        <v>0</v>
      </c>
      <c r="T204" s="49">
        <v>1400000</v>
      </c>
      <c r="U204" s="49">
        <f>T204+M204</f>
        <v>1400000</v>
      </c>
      <c r="V204" s="49">
        <f>T204+S204</f>
        <v>1400000</v>
      </c>
      <c r="W204" s="49"/>
      <c r="X204" s="49"/>
      <c r="Y204" s="49"/>
      <c r="Z204" s="49"/>
      <c r="AA204" s="49">
        <v>0</v>
      </c>
      <c r="AB204" s="49">
        <v>1400000</v>
      </c>
      <c r="AC204" s="49">
        <f t="shared" si="73"/>
        <v>0</v>
      </c>
      <c r="AD204" s="49">
        <f>AA204+T204+M204</f>
        <v>1400000</v>
      </c>
      <c r="AE204" s="49"/>
      <c r="AF204" s="49"/>
      <c r="AG204" s="49"/>
      <c r="AH204" s="49">
        <v>1400000</v>
      </c>
      <c r="AI204" s="49"/>
      <c r="AJ204" s="49"/>
      <c r="AK204" s="49">
        <f>Z204+Y204+X204+W204+N204+AG204+AJ204+AI204+AH204</f>
        <v>1400000</v>
      </c>
      <c r="AL204" s="49">
        <f>AK204/AD204*100</f>
        <v>100</v>
      </c>
      <c r="AM204" s="49"/>
      <c r="AN204" s="49"/>
      <c r="AO204" s="49"/>
      <c r="AP204" s="49"/>
      <c r="AQ204" s="49">
        <f>AK204+AM204+AN204+AO204+AP204</f>
        <v>1400000</v>
      </c>
      <c r="AR204" s="49">
        <f>AQ204/AB204*100</f>
        <v>100</v>
      </c>
      <c r="AS204" s="49">
        <f>AB204-AQ204</f>
        <v>0</v>
      </c>
      <c r="AT204" s="49">
        <v>3091500</v>
      </c>
      <c r="AU204" s="49">
        <f>AT204+U204</f>
        <v>4491500</v>
      </c>
      <c r="AV204" s="49">
        <f>AK204</f>
        <v>1400000</v>
      </c>
      <c r="AW204" s="72">
        <f>AV204/AU204*100</f>
        <v>31.169987754647664</v>
      </c>
      <c r="AX204" s="49">
        <f>AU204-AV204</f>
        <v>3091500</v>
      </c>
      <c r="AY204" s="49">
        <f>AS204/AB204*100</f>
        <v>0</v>
      </c>
      <c r="AZ204" s="73">
        <f t="shared" si="71"/>
        <v>1400000</v>
      </c>
    </row>
    <row r="205" spans="1:53" ht="20.100000000000001" hidden="1" customHeight="1">
      <c r="A205" s="68"/>
      <c r="B205" s="69"/>
      <c r="C205" s="240" t="s">
        <v>385</v>
      </c>
      <c r="D205" s="240"/>
      <c r="E205" s="241"/>
      <c r="F205" s="70"/>
      <c r="G205" s="71"/>
      <c r="H205" s="240" t="s">
        <v>143</v>
      </c>
      <c r="I205" s="240"/>
      <c r="J205" s="240"/>
      <c r="K205" s="241"/>
      <c r="L205" s="49"/>
      <c r="M205" s="49"/>
      <c r="N205" s="49"/>
      <c r="O205" s="49"/>
      <c r="P205" s="49"/>
      <c r="Q205" s="49"/>
      <c r="R205" s="72"/>
      <c r="S205" s="49"/>
      <c r="T205" s="49"/>
      <c r="U205" s="49"/>
      <c r="V205" s="49"/>
      <c r="W205" s="49"/>
      <c r="X205" s="49"/>
      <c r="Y205" s="49"/>
      <c r="Z205" s="49"/>
      <c r="AA205" s="49"/>
      <c r="AB205" s="49"/>
      <c r="AC205" s="49">
        <f t="shared" si="73"/>
        <v>0</v>
      </c>
      <c r="AD205" s="49"/>
      <c r="AE205" s="49"/>
      <c r="AF205" s="49"/>
      <c r="AG205" s="49"/>
      <c r="AH205" s="49"/>
      <c r="AI205" s="49"/>
      <c r="AJ205" s="49"/>
      <c r="AK205" s="49"/>
      <c r="AL205" s="49"/>
      <c r="AM205" s="49"/>
      <c r="AN205" s="49"/>
      <c r="AO205" s="49"/>
      <c r="AP205" s="49"/>
      <c r="AQ205" s="49"/>
      <c r="AR205" s="49"/>
      <c r="AS205" s="49"/>
      <c r="AT205" s="49"/>
      <c r="AU205" s="49"/>
      <c r="AV205" s="49"/>
      <c r="AW205" s="49"/>
      <c r="AX205" s="49"/>
      <c r="AY205" s="49"/>
      <c r="AZ205" s="73">
        <f t="shared" si="71"/>
        <v>0</v>
      </c>
    </row>
    <row r="206" spans="1:53" ht="20.100000000000001" hidden="1" customHeight="1">
      <c r="A206" s="68"/>
      <c r="B206" s="69"/>
      <c r="C206" s="240" t="s">
        <v>386</v>
      </c>
      <c r="D206" s="240"/>
      <c r="E206" s="241"/>
      <c r="F206" s="70"/>
      <c r="G206" s="71"/>
      <c r="H206" s="71"/>
      <c r="I206" s="240" t="s">
        <v>145</v>
      </c>
      <c r="J206" s="240"/>
      <c r="K206" s="241"/>
      <c r="L206" s="49"/>
      <c r="M206" s="49"/>
      <c r="N206" s="49"/>
      <c r="O206" s="49"/>
      <c r="P206" s="49"/>
      <c r="Q206" s="49"/>
      <c r="R206" s="72"/>
      <c r="S206" s="49"/>
      <c r="T206" s="49"/>
      <c r="U206" s="49"/>
      <c r="V206" s="49"/>
      <c r="W206" s="49"/>
      <c r="X206" s="49"/>
      <c r="Y206" s="49"/>
      <c r="Z206" s="49"/>
      <c r="AA206" s="49"/>
      <c r="AB206" s="49"/>
      <c r="AC206" s="49">
        <f t="shared" si="73"/>
        <v>0</v>
      </c>
      <c r="AD206" s="49"/>
      <c r="AE206" s="49"/>
      <c r="AF206" s="49"/>
      <c r="AG206" s="49"/>
      <c r="AH206" s="49"/>
      <c r="AI206" s="49"/>
      <c r="AJ206" s="49"/>
      <c r="AK206" s="49"/>
      <c r="AL206" s="49"/>
      <c r="AM206" s="49"/>
      <c r="AN206" s="49"/>
      <c r="AO206" s="49"/>
      <c r="AP206" s="49"/>
      <c r="AQ206" s="49"/>
      <c r="AR206" s="49"/>
      <c r="AS206" s="49"/>
      <c r="AT206" s="49"/>
      <c r="AU206" s="49"/>
      <c r="AV206" s="49"/>
      <c r="AW206" s="49"/>
      <c r="AX206" s="49"/>
      <c r="AY206" s="49"/>
      <c r="AZ206" s="73">
        <f t="shared" si="71"/>
        <v>0</v>
      </c>
    </row>
    <row r="207" spans="1:53" ht="20.100000000000001" hidden="1" customHeight="1">
      <c r="A207" s="68"/>
      <c r="B207" s="69"/>
      <c r="C207" s="240" t="s">
        <v>387</v>
      </c>
      <c r="D207" s="240"/>
      <c r="E207" s="241"/>
      <c r="F207" s="70"/>
      <c r="G207" s="71"/>
      <c r="H207" s="71"/>
      <c r="I207" s="71"/>
      <c r="J207" s="240" t="s">
        <v>147</v>
      </c>
      <c r="K207" s="241"/>
      <c r="L207" s="49">
        <v>8530000</v>
      </c>
      <c r="M207" s="49">
        <v>0</v>
      </c>
      <c r="N207" s="49"/>
      <c r="O207" s="49"/>
      <c r="P207" s="49"/>
      <c r="Q207" s="49">
        <f>SUM(N207:P207)</f>
        <v>0</v>
      </c>
      <c r="R207" s="72"/>
      <c r="S207" s="49">
        <f>M207-Q207</f>
        <v>0</v>
      </c>
      <c r="T207" s="49">
        <v>8530000</v>
      </c>
      <c r="U207" s="49">
        <f>T207+M207</f>
        <v>8530000</v>
      </c>
      <c r="V207" s="49">
        <f>T207+S207</f>
        <v>8530000</v>
      </c>
      <c r="W207" s="49"/>
      <c r="X207" s="49"/>
      <c r="Y207" s="49"/>
      <c r="Z207" s="49"/>
      <c r="AA207" s="49">
        <v>0</v>
      </c>
      <c r="AB207" s="49">
        <v>8530000</v>
      </c>
      <c r="AC207" s="49">
        <f t="shared" si="73"/>
        <v>0</v>
      </c>
      <c r="AD207" s="49">
        <f>AA207+T207+M207</f>
        <v>8530000</v>
      </c>
      <c r="AE207" s="49"/>
      <c r="AF207" s="49"/>
      <c r="AG207" s="49"/>
      <c r="AH207" s="49">
        <v>8530000</v>
      </c>
      <c r="AI207" s="49"/>
      <c r="AJ207" s="49"/>
      <c r="AK207" s="49">
        <f>Z207+Y207+X207+W207+N207+AG207+AJ207+AI207+AH207</f>
        <v>8530000</v>
      </c>
      <c r="AL207" s="49">
        <f>AK207/AD207*100</f>
        <v>100</v>
      </c>
      <c r="AM207" s="49"/>
      <c r="AN207" s="49"/>
      <c r="AO207" s="49"/>
      <c r="AP207" s="49"/>
      <c r="AQ207" s="49">
        <f>AK207+AM207+AN207+AO207+AP207</f>
        <v>8530000</v>
      </c>
      <c r="AR207" s="49">
        <f>AQ207/AB207*100</f>
        <v>100</v>
      </c>
      <c r="AS207" s="49">
        <f>AB207-AQ207</f>
        <v>0</v>
      </c>
      <c r="AT207" s="49">
        <v>3091500</v>
      </c>
      <c r="AU207" s="49">
        <f>AT207+U207</f>
        <v>11621500</v>
      </c>
      <c r="AV207" s="49">
        <f>AK207</f>
        <v>8530000</v>
      </c>
      <c r="AW207" s="72">
        <f>AV207/AU207*100</f>
        <v>73.398442541840552</v>
      </c>
      <c r="AX207" s="49">
        <f>AU207-AV207</f>
        <v>3091500</v>
      </c>
      <c r="AY207" s="49">
        <f>AS207/AB207*100</f>
        <v>0</v>
      </c>
      <c r="AZ207" s="73">
        <f t="shared" si="71"/>
        <v>8530000</v>
      </c>
    </row>
    <row r="208" spans="1:53" ht="20.100000000000001" hidden="1" customHeight="1">
      <c r="A208" s="68"/>
      <c r="B208" s="69"/>
      <c r="C208" s="240" t="s">
        <v>388</v>
      </c>
      <c r="D208" s="240"/>
      <c r="E208" s="241"/>
      <c r="F208" s="70"/>
      <c r="G208" s="71"/>
      <c r="H208" s="71"/>
      <c r="I208" s="240" t="s">
        <v>389</v>
      </c>
      <c r="J208" s="240"/>
      <c r="K208" s="241"/>
      <c r="L208" s="49"/>
      <c r="M208" s="49"/>
      <c r="N208" s="49"/>
      <c r="O208" s="49"/>
      <c r="P208" s="49"/>
      <c r="Q208" s="49"/>
      <c r="R208" s="72"/>
      <c r="S208" s="49"/>
      <c r="T208" s="49"/>
      <c r="U208" s="49"/>
      <c r="V208" s="49"/>
      <c r="W208" s="49"/>
      <c r="X208" s="49"/>
      <c r="Y208" s="49"/>
      <c r="Z208" s="49"/>
      <c r="AA208" s="49"/>
      <c r="AB208" s="49"/>
      <c r="AC208" s="49">
        <f t="shared" si="73"/>
        <v>0</v>
      </c>
      <c r="AD208" s="49"/>
      <c r="AE208" s="49"/>
      <c r="AF208" s="49"/>
      <c r="AG208" s="49"/>
      <c r="AH208" s="49"/>
      <c r="AI208" s="49"/>
      <c r="AJ208" s="49"/>
      <c r="AK208" s="49"/>
      <c r="AL208" s="49"/>
      <c r="AM208" s="49"/>
      <c r="AN208" s="49"/>
      <c r="AO208" s="49"/>
      <c r="AP208" s="49"/>
      <c r="AQ208" s="49"/>
      <c r="AR208" s="49"/>
      <c r="AS208" s="49"/>
      <c r="AT208" s="49"/>
      <c r="AU208" s="49"/>
      <c r="AV208" s="49"/>
      <c r="AW208" s="49"/>
      <c r="AX208" s="49"/>
      <c r="AY208" s="49"/>
      <c r="AZ208" s="73">
        <f t="shared" si="71"/>
        <v>0</v>
      </c>
    </row>
    <row r="209" spans="1:56" ht="20.100000000000001" hidden="1" customHeight="1">
      <c r="A209" s="68"/>
      <c r="B209" s="69"/>
      <c r="C209" s="240" t="s">
        <v>390</v>
      </c>
      <c r="D209" s="240"/>
      <c r="E209" s="241"/>
      <c r="F209" s="70"/>
      <c r="G209" s="71"/>
      <c r="H209" s="71"/>
      <c r="I209" s="71"/>
      <c r="J209" s="240" t="s">
        <v>391</v>
      </c>
      <c r="K209" s="241"/>
      <c r="L209" s="49">
        <v>129475000</v>
      </c>
      <c r="M209" s="49">
        <v>0</v>
      </c>
      <c r="N209" s="49"/>
      <c r="O209" s="49"/>
      <c r="P209" s="49"/>
      <c r="Q209" s="49">
        <f>SUM(N209:P209)</f>
        <v>0</v>
      </c>
      <c r="R209" s="72"/>
      <c r="S209" s="49">
        <f>M209-Q209</f>
        <v>0</v>
      </c>
      <c r="T209" s="49">
        <v>129475000</v>
      </c>
      <c r="U209" s="49">
        <f>T209+M209</f>
        <v>129475000</v>
      </c>
      <c r="V209" s="49">
        <f>T209+S209</f>
        <v>129475000</v>
      </c>
      <c r="W209" s="49"/>
      <c r="X209" s="49"/>
      <c r="Y209" s="49"/>
      <c r="Z209" s="49"/>
      <c r="AA209" s="49">
        <v>0</v>
      </c>
      <c r="AB209" s="49">
        <v>129475000</v>
      </c>
      <c r="AC209" s="49">
        <f t="shared" si="73"/>
        <v>0</v>
      </c>
      <c r="AD209" s="49">
        <f>AA209+T209+M209</f>
        <v>129475000</v>
      </c>
      <c r="AE209" s="49"/>
      <c r="AF209" s="49">
        <v>108306000</v>
      </c>
      <c r="AG209" s="49"/>
      <c r="AH209" s="49">
        <v>19750000</v>
      </c>
      <c r="AI209" s="49"/>
      <c r="AJ209" s="49"/>
      <c r="AK209" s="49">
        <f>Z209+Y209+X209+W209+N209+AG209+AJ209+AI209+AH209+AF209</f>
        <v>128056000</v>
      </c>
      <c r="AL209" s="49">
        <f>AK209/AD209*100</f>
        <v>98.904035528094226</v>
      </c>
      <c r="AM209" s="49"/>
      <c r="AN209" s="49"/>
      <c r="AO209" s="49"/>
      <c r="AP209" s="49"/>
      <c r="AQ209" s="49">
        <f>AK209+AM209+AN209+AO209+AP209</f>
        <v>128056000</v>
      </c>
      <c r="AR209" s="49">
        <f>AQ209/AB209*100</f>
        <v>98.904035528094226</v>
      </c>
      <c r="AS209" s="49">
        <f>AB209-AQ209</f>
        <v>1419000</v>
      </c>
      <c r="AT209" s="49">
        <v>3091500</v>
      </c>
      <c r="AU209" s="49">
        <f>AT209+U209</f>
        <v>132566500</v>
      </c>
      <c r="AV209" s="49">
        <f>AK209</f>
        <v>128056000</v>
      </c>
      <c r="AW209" s="72">
        <f>AV209/AU209*100</f>
        <v>96.597556697959135</v>
      </c>
      <c r="AX209" s="49">
        <f>AU209-AV209</f>
        <v>4510500</v>
      </c>
      <c r="AY209" s="49">
        <f>AS209/AB209*100</f>
        <v>1.0959644719057733</v>
      </c>
      <c r="AZ209" s="73">
        <f t="shared" si="71"/>
        <v>128056000</v>
      </c>
    </row>
    <row r="210" spans="1:56" ht="20.100000000000001" hidden="1" customHeight="1">
      <c r="A210" s="68"/>
      <c r="B210" s="69"/>
      <c r="C210" s="240" t="s">
        <v>392</v>
      </c>
      <c r="D210" s="240"/>
      <c r="E210" s="241"/>
      <c r="F210" s="70"/>
      <c r="G210" s="71"/>
      <c r="H210" s="71"/>
      <c r="I210" s="240" t="s">
        <v>163</v>
      </c>
      <c r="J210" s="240"/>
      <c r="K210" s="241"/>
      <c r="L210" s="49"/>
      <c r="M210" s="49"/>
      <c r="N210" s="49"/>
      <c r="O210" s="49"/>
      <c r="P210" s="49"/>
      <c r="Q210" s="49"/>
      <c r="R210" s="72"/>
      <c r="S210" s="49"/>
      <c r="T210" s="49"/>
      <c r="U210" s="49"/>
      <c r="V210" s="49"/>
      <c r="W210" s="49"/>
      <c r="X210" s="49"/>
      <c r="Y210" s="49"/>
      <c r="Z210" s="49"/>
      <c r="AA210" s="49"/>
      <c r="AB210" s="49"/>
      <c r="AC210" s="49">
        <f t="shared" si="73"/>
        <v>0</v>
      </c>
      <c r="AD210" s="49"/>
      <c r="AE210" s="49"/>
      <c r="AF210" s="49"/>
      <c r="AG210" s="49"/>
      <c r="AH210" s="49"/>
      <c r="AI210" s="49"/>
      <c r="AJ210" s="49"/>
      <c r="AK210" s="49"/>
      <c r="AL210" s="49"/>
      <c r="AM210" s="49"/>
      <c r="AN210" s="49"/>
      <c r="AO210" s="49"/>
      <c r="AP210" s="49"/>
      <c r="AQ210" s="49"/>
      <c r="AR210" s="49"/>
      <c r="AS210" s="49"/>
      <c r="AT210" s="49"/>
      <c r="AU210" s="49"/>
      <c r="AV210" s="49"/>
      <c r="AW210" s="49"/>
      <c r="AX210" s="49"/>
      <c r="AY210" s="49"/>
      <c r="AZ210" s="73">
        <f t="shared" si="71"/>
        <v>0</v>
      </c>
    </row>
    <row r="211" spans="1:56" ht="20.100000000000001" hidden="1" customHeight="1">
      <c r="A211" s="68"/>
      <c r="B211" s="69"/>
      <c r="C211" s="240" t="s">
        <v>393</v>
      </c>
      <c r="D211" s="240"/>
      <c r="E211" s="241"/>
      <c r="F211" s="70"/>
      <c r="G211" s="71"/>
      <c r="H211" s="71"/>
      <c r="I211" s="71"/>
      <c r="J211" s="240" t="s">
        <v>352</v>
      </c>
      <c r="K211" s="241"/>
      <c r="L211" s="49">
        <v>30000000</v>
      </c>
      <c r="M211" s="49">
        <v>0</v>
      </c>
      <c r="N211" s="49"/>
      <c r="O211" s="49"/>
      <c r="P211" s="49"/>
      <c r="Q211" s="49">
        <f>SUM(N211:P211)</f>
        <v>0</v>
      </c>
      <c r="R211" s="72"/>
      <c r="S211" s="49">
        <f>M211-Q211</f>
        <v>0</v>
      </c>
      <c r="T211" s="49">
        <v>30000000</v>
      </c>
      <c r="U211" s="49">
        <f>T211+M211</f>
        <v>30000000</v>
      </c>
      <c r="V211" s="49">
        <f>T211+S211</f>
        <v>30000000</v>
      </c>
      <c r="W211" s="49"/>
      <c r="X211" s="49"/>
      <c r="Y211" s="49"/>
      <c r="Z211" s="49"/>
      <c r="AA211" s="49">
        <v>0</v>
      </c>
      <c r="AB211" s="49">
        <v>30000000</v>
      </c>
      <c r="AC211" s="49">
        <f t="shared" si="73"/>
        <v>0</v>
      </c>
      <c r="AD211" s="49">
        <f>AA211+T211+M211</f>
        <v>30000000</v>
      </c>
      <c r="AE211" s="49"/>
      <c r="AF211" s="49"/>
      <c r="AG211" s="49"/>
      <c r="AH211" s="49">
        <v>30000000</v>
      </c>
      <c r="AI211" s="49"/>
      <c r="AJ211" s="49"/>
      <c r="AK211" s="49">
        <f>Z211+Y211+X211+W211+N211+AG211+AJ211+AI211+AH211</f>
        <v>30000000</v>
      </c>
      <c r="AL211" s="49">
        <f>AK211/AD211*100</f>
        <v>100</v>
      </c>
      <c r="AM211" s="49"/>
      <c r="AN211" s="49"/>
      <c r="AO211" s="49"/>
      <c r="AP211" s="49"/>
      <c r="AQ211" s="49">
        <f>AK211+AM211+AN211+AO211+AP211</f>
        <v>30000000</v>
      </c>
      <c r="AR211" s="49">
        <f>AQ211/AB211*100</f>
        <v>100</v>
      </c>
      <c r="AS211" s="49">
        <f>AB211-AQ211</f>
        <v>0</v>
      </c>
      <c r="AT211" s="49">
        <v>3091500</v>
      </c>
      <c r="AU211" s="49">
        <f>AT211+U211</f>
        <v>33091500</v>
      </c>
      <c r="AV211" s="49">
        <f>AK211</f>
        <v>30000000</v>
      </c>
      <c r="AW211" s="72">
        <f>AV211/AU211*100</f>
        <v>90.657721771451889</v>
      </c>
      <c r="AX211" s="49">
        <f>AU211-AV211</f>
        <v>3091500</v>
      </c>
      <c r="AY211" s="49">
        <f>AS211/AB211*100</f>
        <v>0</v>
      </c>
      <c r="AZ211" s="73">
        <f t="shared" si="71"/>
        <v>30000000</v>
      </c>
    </row>
    <row r="212" spans="1:56" ht="20.100000000000001" hidden="1" customHeight="1">
      <c r="A212" s="68"/>
      <c r="B212" s="69"/>
      <c r="C212" s="240" t="s">
        <v>394</v>
      </c>
      <c r="D212" s="240"/>
      <c r="E212" s="241"/>
      <c r="F212" s="70"/>
      <c r="G212" s="71"/>
      <c r="H212" s="71"/>
      <c r="I212" s="240" t="s">
        <v>151</v>
      </c>
      <c r="J212" s="240"/>
      <c r="K212" s="241"/>
      <c r="L212" s="49"/>
      <c r="M212" s="49"/>
      <c r="N212" s="49"/>
      <c r="O212" s="49"/>
      <c r="P212" s="49"/>
      <c r="Q212" s="49"/>
      <c r="R212" s="72"/>
      <c r="S212" s="49"/>
      <c r="T212" s="49"/>
      <c r="U212" s="49"/>
      <c r="V212" s="49"/>
      <c r="W212" s="49"/>
      <c r="X212" s="49"/>
      <c r="Y212" s="49"/>
      <c r="Z212" s="49"/>
      <c r="AA212" s="49"/>
      <c r="AB212" s="49"/>
      <c r="AC212" s="49">
        <f t="shared" si="73"/>
        <v>0</v>
      </c>
      <c r="AD212" s="49"/>
      <c r="AE212" s="49"/>
      <c r="AF212" s="49"/>
      <c r="AG212" s="49"/>
      <c r="AH212" s="49"/>
      <c r="AI212" s="49"/>
      <c r="AJ212" s="49"/>
      <c r="AK212" s="49"/>
      <c r="AL212" s="49"/>
      <c r="AM212" s="49"/>
      <c r="AN212" s="49"/>
      <c r="AO212" s="49"/>
      <c r="AP212" s="49"/>
      <c r="AQ212" s="49"/>
      <c r="AR212" s="49"/>
      <c r="AS212" s="49"/>
      <c r="AT212" s="49"/>
      <c r="AU212" s="49"/>
      <c r="AV212" s="49"/>
      <c r="AW212" s="49"/>
      <c r="AX212" s="49"/>
      <c r="AY212" s="49"/>
      <c r="AZ212" s="73">
        <f t="shared" si="71"/>
        <v>0</v>
      </c>
    </row>
    <row r="213" spans="1:56" ht="20.100000000000001" hidden="1" customHeight="1">
      <c r="A213" s="68"/>
      <c r="B213" s="69"/>
      <c r="C213" s="240" t="s">
        <v>395</v>
      </c>
      <c r="D213" s="240"/>
      <c r="E213" s="241"/>
      <c r="F213" s="70"/>
      <c r="G213" s="71"/>
      <c r="H213" s="71"/>
      <c r="I213" s="71"/>
      <c r="J213" s="240" t="s">
        <v>153</v>
      </c>
      <c r="K213" s="241"/>
      <c r="L213" s="49">
        <v>4000000</v>
      </c>
      <c r="M213" s="49">
        <v>0</v>
      </c>
      <c r="N213" s="49"/>
      <c r="O213" s="49"/>
      <c r="P213" s="49"/>
      <c r="Q213" s="49">
        <f>SUM(N213:P213)</f>
        <v>0</v>
      </c>
      <c r="R213" s="72"/>
      <c r="S213" s="49">
        <f>M213-Q213</f>
        <v>0</v>
      </c>
      <c r="T213" s="49">
        <v>4000000</v>
      </c>
      <c r="U213" s="49">
        <f>T213+M213</f>
        <v>4000000</v>
      </c>
      <c r="V213" s="49">
        <f>T213+S213</f>
        <v>4000000</v>
      </c>
      <c r="W213" s="49"/>
      <c r="X213" s="49"/>
      <c r="Y213" s="49"/>
      <c r="Z213" s="49"/>
      <c r="AA213" s="49">
        <v>0</v>
      </c>
      <c r="AB213" s="49">
        <v>4000000</v>
      </c>
      <c r="AC213" s="49">
        <f t="shared" si="73"/>
        <v>0</v>
      </c>
      <c r="AD213" s="49">
        <f>AA213+T213+M213</f>
        <v>4000000</v>
      </c>
      <c r="AE213" s="49"/>
      <c r="AF213" s="49"/>
      <c r="AG213" s="49"/>
      <c r="AH213" s="49">
        <v>4000000</v>
      </c>
      <c r="AI213" s="49"/>
      <c r="AJ213" s="49"/>
      <c r="AK213" s="49">
        <f>Z213+Y213+X213+W213+N213+AG213+AJ213+AI213+AH213</f>
        <v>4000000</v>
      </c>
      <c r="AL213" s="49">
        <f>AK213/AD213*100</f>
        <v>100</v>
      </c>
      <c r="AM213" s="49"/>
      <c r="AN213" s="49"/>
      <c r="AO213" s="49"/>
      <c r="AP213" s="49"/>
      <c r="AQ213" s="49">
        <f>AK213+AM213+AN213+AO213+AP213</f>
        <v>4000000</v>
      </c>
      <c r="AR213" s="49">
        <f>AQ213/AB213*100</f>
        <v>100</v>
      </c>
      <c r="AS213" s="49">
        <f>AB213-AQ213</f>
        <v>0</v>
      </c>
      <c r="AT213" s="49">
        <v>3091500</v>
      </c>
      <c r="AU213" s="49">
        <f>AT213+U213</f>
        <v>7091500</v>
      </c>
      <c r="AV213" s="49">
        <f>AK213</f>
        <v>4000000</v>
      </c>
      <c r="AW213" s="72">
        <f>AV213/AU213*100</f>
        <v>56.405555947260808</v>
      </c>
      <c r="AX213" s="49">
        <f>AU213-AV213</f>
        <v>3091500</v>
      </c>
      <c r="AY213" s="49">
        <f>AS213/AB213*100</f>
        <v>0</v>
      </c>
      <c r="AZ213" s="73">
        <f t="shared" si="71"/>
        <v>4000000</v>
      </c>
    </row>
    <row r="214" spans="1:56" ht="20.100000000000001" hidden="1" customHeight="1">
      <c r="A214" s="68"/>
      <c r="B214" s="69"/>
      <c r="C214" s="240" t="s">
        <v>396</v>
      </c>
      <c r="D214" s="240"/>
      <c r="E214" s="241"/>
      <c r="F214" s="70"/>
      <c r="G214" s="71"/>
      <c r="H214" s="71"/>
      <c r="I214" s="71"/>
      <c r="J214" s="240" t="s">
        <v>155</v>
      </c>
      <c r="K214" s="241"/>
      <c r="L214" s="49">
        <v>1620000</v>
      </c>
      <c r="M214" s="49">
        <v>0</v>
      </c>
      <c r="N214" s="49"/>
      <c r="O214" s="49"/>
      <c r="P214" s="49"/>
      <c r="Q214" s="49">
        <f>SUM(N214:P214)</f>
        <v>0</v>
      </c>
      <c r="R214" s="72"/>
      <c r="S214" s="49">
        <f>M214-Q214</f>
        <v>0</v>
      </c>
      <c r="T214" s="49">
        <v>1620000</v>
      </c>
      <c r="U214" s="49">
        <f>T214+M214</f>
        <v>1620000</v>
      </c>
      <c r="V214" s="49">
        <f>T214+S214</f>
        <v>1620000</v>
      </c>
      <c r="W214" s="49"/>
      <c r="X214" s="49"/>
      <c r="Y214" s="49"/>
      <c r="Z214" s="49"/>
      <c r="AA214" s="49">
        <v>0</v>
      </c>
      <c r="AB214" s="49">
        <v>1620000</v>
      </c>
      <c r="AC214" s="49">
        <f t="shared" si="73"/>
        <v>0</v>
      </c>
      <c r="AD214" s="49">
        <f>AA214+T214+M214</f>
        <v>1620000</v>
      </c>
      <c r="AE214" s="49"/>
      <c r="AF214" s="49"/>
      <c r="AG214" s="49"/>
      <c r="AH214" s="49">
        <v>1619800</v>
      </c>
      <c r="AI214" s="49"/>
      <c r="AJ214" s="49"/>
      <c r="AK214" s="49">
        <f>Z214+Y214+X214+W214+N214+AG214+AJ214+AI214+AH214</f>
        <v>1619800</v>
      </c>
      <c r="AL214" s="49">
        <f>AK214/AD214*100</f>
        <v>99.987654320987644</v>
      </c>
      <c r="AM214" s="49"/>
      <c r="AN214" s="49"/>
      <c r="AO214" s="49"/>
      <c r="AP214" s="49"/>
      <c r="AQ214" s="49">
        <f>AK214+AM214+AN214+AO214+AP214</f>
        <v>1619800</v>
      </c>
      <c r="AR214" s="49">
        <f>AQ214/AB214*100</f>
        <v>99.987654320987644</v>
      </c>
      <c r="AS214" s="49">
        <f>AB214-AQ214</f>
        <v>200</v>
      </c>
      <c r="AT214" s="49">
        <v>3091500</v>
      </c>
      <c r="AU214" s="49">
        <f>AT214+U214</f>
        <v>4711500</v>
      </c>
      <c r="AV214" s="49">
        <f>AK214</f>
        <v>1619800</v>
      </c>
      <c r="AW214" s="72">
        <f>AV214/AU214*100</f>
        <v>34.379709222116098</v>
      </c>
      <c r="AX214" s="49">
        <f>AU214-AV214</f>
        <v>3091700</v>
      </c>
      <c r="AY214" s="49">
        <f>AS214/AB214*100</f>
        <v>1.234567901234568E-2</v>
      </c>
      <c r="AZ214" s="73">
        <f t="shared" si="71"/>
        <v>1619800</v>
      </c>
    </row>
    <row r="215" spans="1:56" ht="20.100000000000001" hidden="1" customHeight="1">
      <c r="A215" s="68"/>
      <c r="B215" s="69"/>
      <c r="C215" s="240" t="s">
        <v>397</v>
      </c>
      <c r="D215" s="240"/>
      <c r="E215" s="241"/>
      <c r="F215" s="70"/>
      <c r="G215" s="71"/>
      <c r="H215" s="71"/>
      <c r="I215" s="240" t="s">
        <v>193</v>
      </c>
      <c r="J215" s="240"/>
      <c r="K215" s="241"/>
      <c r="L215" s="49"/>
      <c r="M215" s="49"/>
      <c r="N215" s="49"/>
      <c r="O215" s="49"/>
      <c r="P215" s="49"/>
      <c r="Q215" s="49"/>
      <c r="R215" s="72"/>
      <c r="S215" s="49"/>
      <c r="T215" s="49"/>
      <c r="U215" s="49"/>
      <c r="V215" s="49"/>
      <c r="W215" s="49"/>
      <c r="X215" s="49"/>
      <c r="Y215" s="49"/>
      <c r="Z215" s="49"/>
      <c r="AA215" s="49"/>
      <c r="AB215" s="49"/>
      <c r="AC215" s="49">
        <f t="shared" si="73"/>
        <v>0</v>
      </c>
      <c r="AD215" s="49"/>
      <c r="AE215" s="49"/>
      <c r="AF215" s="49"/>
      <c r="AG215" s="49"/>
      <c r="AH215" s="49"/>
      <c r="AI215" s="49"/>
      <c r="AJ215" s="49"/>
      <c r="AK215" s="49"/>
      <c r="AL215" s="49"/>
      <c r="AM215" s="49"/>
      <c r="AN215" s="49"/>
      <c r="AO215" s="49"/>
      <c r="AP215" s="49"/>
      <c r="AQ215" s="49"/>
      <c r="AR215" s="49"/>
      <c r="AS215" s="49"/>
      <c r="AT215" s="49"/>
      <c r="AU215" s="49"/>
      <c r="AV215" s="49"/>
      <c r="AW215" s="49"/>
      <c r="AX215" s="49"/>
      <c r="AY215" s="49"/>
      <c r="AZ215" s="73">
        <f t="shared" si="71"/>
        <v>0</v>
      </c>
    </row>
    <row r="216" spans="1:56" ht="20.100000000000001" hidden="1" customHeight="1">
      <c r="A216" s="68"/>
      <c r="B216" s="69"/>
      <c r="C216" s="240" t="s">
        <v>398</v>
      </c>
      <c r="D216" s="240"/>
      <c r="E216" s="241"/>
      <c r="F216" s="70"/>
      <c r="G216" s="71"/>
      <c r="H216" s="71"/>
      <c r="I216" s="71"/>
      <c r="J216" s="240" t="s">
        <v>195</v>
      </c>
      <c r="K216" s="241"/>
      <c r="L216" s="49">
        <v>32525000</v>
      </c>
      <c r="M216" s="49">
        <v>0</v>
      </c>
      <c r="N216" s="49"/>
      <c r="O216" s="49"/>
      <c r="P216" s="49"/>
      <c r="Q216" s="49">
        <f>SUM(N216:P216)</f>
        <v>0</v>
      </c>
      <c r="R216" s="72"/>
      <c r="S216" s="49">
        <f>M216-Q216</f>
        <v>0</v>
      </c>
      <c r="T216" s="49">
        <v>32525000</v>
      </c>
      <c r="U216" s="49">
        <f>T216+M216</f>
        <v>32525000</v>
      </c>
      <c r="V216" s="49">
        <f>T216+S216</f>
        <v>32525000</v>
      </c>
      <c r="W216" s="49"/>
      <c r="X216" s="49"/>
      <c r="Y216" s="49"/>
      <c r="Z216" s="49"/>
      <c r="AA216" s="49">
        <v>0</v>
      </c>
      <c r="AB216" s="49">
        <v>32525000</v>
      </c>
      <c r="AC216" s="49">
        <f t="shared" si="73"/>
        <v>0</v>
      </c>
      <c r="AD216" s="49">
        <f>AA216+T216+M216</f>
        <v>32525000</v>
      </c>
      <c r="AE216" s="49"/>
      <c r="AF216" s="49"/>
      <c r="AG216" s="49"/>
      <c r="AH216" s="49">
        <v>24150000</v>
      </c>
      <c r="AI216" s="49"/>
      <c r="AJ216" s="49"/>
      <c r="AK216" s="49">
        <f>Z216+Y216+X216+W216+N216+AG216+AJ216+AI216+AH216</f>
        <v>24150000</v>
      </c>
      <c r="AL216" s="49">
        <f>AK216/AD216*100</f>
        <v>74.250576479631064</v>
      </c>
      <c r="AM216" s="49"/>
      <c r="AN216" s="49"/>
      <c r="AO216" s="49"/>
      <c r="AP216" s="49"/>
      <c r="AQ216" s="49">
        <f>AK216+AM216+AN216+AO216+AP216</f>
        <v>24150000</v>
      </c>
      <c r="AR216" s="49">
        <f>AQ216/AB216*100</f>
        <v>74.250576479631064</v>
      </c>
      <c r="AS216" s="49">
        <f>AB216-AQ216</f>
        <v>8375000</v>
      </c>
      <c r="AT216" s="49">
        <v>3091500</v>
      </c>
      <c r="AU216" s="49">
        <f>AT216+U216</f>
        <v>35616500</v>
      </c>
      <c r="AV216" s="49">
        <f>AK216</f>
        <v>24150000</v>
      </c>
      <c r="AW216" s="72">
        <f>AV216/AU216*100</f>
        <v>67.805651874833302</v>
      </c>
      <c r="AX216" s="49">
        <f>AU216-AV216</f>
        <v>11466500</v>
      </c>
      <c r="AY216" s="49">
        <f>AS216/AB216*100</f>
        <v>25.749423520368946</v>
      </c>
      <c r="AZ216" s="73">
        <f t="shared" si="71"/>
        <v>24150000</v>
      </c>
    </row>
    <row r="217" spans="1:56" ht="20.100000000000001" hidden="1" customHeight="1">
      <c r="A217" s="68"/>
      <c r="B217" s="69"/>
      <c r="C217" s="240" t="s">
        <v>399</v>
      </c>
      <c r="D217" s="240"/>
      <c r="E217" s="241"/>
      <c r="F217" s="70"/>
      <c r="G217" s="71"/>
      <c r="H217" s="71"/>
      <c r="I217" s="240" t="s">
        <v>157</v>
      </c>
      <c r="J217" s="240"/>
      <c r="K217" s="241"/>
      <c r="L217" s="49"/>
      <c r="M217" s="49"/>
      <c r="N217" s="49"/>
      <c r="O217" s="49"/>
      <c r="P217" s="49"/>
      <c r="Q217" s="49"/>
      <c r="R217" s="72"/>
      <c r="S217" s="49"/>
      <c r="T217" s="49"/>
      <c r="U217" s="49"/>
      <c r="V217" s="49"/>
      <c r="W217" s="49"/>
      <c r="X217" s="49"/>
      <c r="Y217" s="49"/>
      <c r="Z217" s="49"/>
      <c r="AA217" s="49"/>
      <c r="AB217" s="49"/>
      <c r="AC217" s="49">
        <f t="shared" si="73"/>
        <v>0</v>
      </c>
      <c r="AD217" s="49"/>
      <c r="AE217" s="49"/>
      <c r="AF217" s="49"/>
      <c r="AG217" s="49"/>
      <c r="AH217" s="49"/>
      <c r="AI217" s="49"/>
      <c r="AJ217" s="49"/>
      <c r="AK217" s="49"/>
      <c r="AL217" s="49"/>
      <c r="AM217" s="49"/>
      <c r="AN217" s="49"/>
      <c r="AO217" s="49"/>
      <c r="AP217" s="49"/>
      <c r="AQ217" s="49"/>
      <c r="AR217" s="49"/>
      <c r="AS217" s="49"/>
      <c r="AT217" s="49"/>
      <c r="AU217" s="49"/>
      <c r="AV217" s="49"/>
      <c r="AW217" s="49"/>
      <c r="AX217" s="49"/>
      <c r="AY217" s="49"/>
      <c r="AZ217" s="73">
        <f t="shared" si="71"/>
        <v>0</v>
      </c>
    </row>
    <row r="218" spans="1:56" ht="20.100000000000001" hidden="1" customHeight="1">
      <c r="A218" s="68"/>
      <c r="B218" s="69"/>
      <c r="C218" s="240" t="s">
        <v>400</v>
      </c>
      <c r="D218" s="240"/>
      <c r="E218" s="241"/>
      <c r="F218" s="70"/>
      <c r="G218" s="71"/>
      <c r="H218" s="71"/>
      <c r="I218" s="71"/>
      <c r="J218" s="240" t="s">
        <v>159</v>
      </c>
      <c r="K218" s="241"/>
      <c r="L218" s="49">
        <v>14400000</v>
      </c>
      <c r="M218" s="49">
        <v>0</v>
      </c>
      <c r="N218" s="49"/>
      <c r="O218" s="49"/>
      <c r="P218" s="49"/>
      <c r="Q218" s="49">
        <f>SUM(N218:P218)</f>
        <v>0</v>
      </c>
      <c r="R218" s="72"/>
      <c r="S218" s="49">
        <f>M218-Q218</f>
        <v>0</v>
      </c>
      <c r="T218" s="49">
        <v>14400000</v>
      </c>
      <c r="U218" s="49">
        <f>T218+M218</f>
        <v>14400000</v>
      </c>
      <c r="V218" s="49">
        <f>T218+S218</f>
        <v>14400000</v>
      </c>
      <c r="W218" s="49"/>
      <c r="X218" s="49"/>
      <c r="Y218" s="49"/>
      <c r="Z218" s="49"/>
      <c r="AA218" s="49">
        <v>0</v>
      </c>
      <c r="AB218" s="49">
        <v>14400000</v>
      </c>
      <c r="AC218" s="49">
        <f t="shared" si="73"/>
        <v>0</v>
      </c>
      <c r="AD218" s="49">
        <f>AA218+T218+M218</f>
        <v>14400000</v>
      </c>
      <c r="AE218" s="49"/>
      <c r="AF218" s="49"/>
      <c r="AG218" s="49"/>
      <c r="AH218" s="49">
        <f>AG218+W218+P218</f>
        <v>0</v>
      </c>
      <c r="AI218" s="49"/>
      <c r="AJ218" s="49"/>
      <c r="AK218" s="49">
        <f>Z218+Y218+X218+W218+N218+AG218+AJ218+AI218+AH218</f>
        <v>0</v>
      </c>
      <c r="AL218" s="49">
        <f>AK218/AD218*100</f>
        <v>0</v>
      </c>
      <c r="AM218" s="48"/>
      <c r="AN218" s="49"/>
      <c r="AO218" s="49"/>
      <c r="AP218" s="49"/>
      <c r="AQ218" s="49">
        <f>AK218+AM218+AN218+AO218+AP218</f>
        <v>0</v>
      </c>
      <c r="AR218" s="49">
        <f>AQ218/AB218*100</f>
        <v>0</v>
      </c>
      <c r="AS218" s="49">
        <f>AB218-AQ218</f>
        <v>14400000</v>
      </c>
      <c r="AT218" s="49">
        <v>3091500</v>
      </c>
      <c r="AU218" s="49">
        <f>AT218+U218</f>
        <v>17491500</v>
      </c>
      <c r="AV218" s="49">
        <f>AK218</f>
        <v>0</v>
      </c>
      <c r="AW218" s="72">
        <f>AV218/AU218*100</f>
        <v>0</v>
      </c>
      <c r="AX218" s="49">
        <f>AU218-AV218</f>
        <v>17491500</v>
      </c>
      <c r="AY218" s="49">
        <f>AS218/AB218*100</f>
        <v>100</v>
      </c>
      <c r="AZ218" s="73">
        <f t="shared" si="71"/>
        <v>0</v>
      </c>
      <c r="BB218" s="29">
        <f>AS218</f>
        <v>14400000</v>
      </c>
    </row>
    <row r="219" spans="1:56" ht="20.100000000000001" hidden="1" customHeight="1">
      <c r="A219" s="68"/>
      <c r="B219" s="69"/>
      <c r="C219" s="240" t="s">
        <v>401</v>
      </c>
      <c r="D219" s="240"/>
      <c r="E219" s="241"/>
      <c r="F219" s="70"/>
      <c r="G219" s="71"/>
      <c r="H219" s="71"/>
      <c r="I219" s="240" t="s">
        <v>402</v>
      </c>
      <c r="J219" s="240"/>
      <c r="K219" s="241"/>
      <c r="L219" s="49"/>
      <c r="M219" s="49"/>
      <c r="N219" s="49"/>
      <c r="O219" s="49"/>
      <c r="P219" s="49"/>
      <c r="Q219" s="49"/>
      <c r="R219" s="72"/>
      <c r="S219" s="49"/>
      <c r="T219" s="49"/>
      <c r="U219" s="49"/>
      <c r="V219" s="49"/>
      <c r="W219" s="49"/>
      <c r="X219" s="49"/>
      <c r="Y219" s="49"/>
      <c r="Z219" s="49"/>
      <c r="AA219" s="49"/>
      <c r="AB219" s="49"/>
      <c r="AC219" s="49">
        <f t="shared" si="73"/>
        <v>0</v>
      </c>
      <c r="AD219" s="49"/>
      <c r="AE219" s="49"/>
      <c r="AF219" s="49"/>
      <c r="AG219" s="49"/>
      <c r="AH219" s="49"/>
      <c r="AI219" s="49"/>
      <c r="AJ219" s="49"/>
      <c r="AK219" s="49"/>
      <c r="AL219" s="49"/>
      <c r="AM219" s="49"/>
      <c r="AN219" s="49"/>
      <c r="AO219" s="49"/>
      <c r="AP219" s="49"/>
      <c r="AQ219" s="49"/>
      <c r="AR219" s="49"/>
      <c r="AS219" s="49"/>
      <c r="AT219" s="49"/>
      <c r="AU219" s="49"/>
      <c r="AV219" s="49"/>
      <c r="AW219" s="49"/>
      <c r="AX219" s="49"/>
      <c r="AY219" s="49"/>
      <c r="AZ219" s="73">
        <f t="shared" si="71"/>
        <v>0</v>
      </c>
    </row>
    <row r="220" spans="1:56" ht="20.100000000000001" hidden="1" customHeight="1">
      <c r="A220" s="68"/>
      <c r="B220" s="69"/>
      <c r="C220" s="240" t="s">
        <v>403</v>
      </c>
      <c r="D220" s="240"/>
      <c r="E220" s="241"/>
      <c r="F220" s="70"/>
      <c r="G220" s="71"/>
      <c r="H220" s="71"/>
      <c r="I220" s="71"/>
      <c r="J220" s="240" t="s">
        <v>404</v>
      </c>
      <c r="K220" s="241"/>
      <c r="L220" s="49">
        <v>18000000</v>
      </c>
      <c r="M220" s="49">
        <v>0</v>
      </c>
      <c r="N220" s="49"/>
      <c r="O220" s="49"/>
      <c r="P220" s="49"/>
      <c r="Q220" s="49">
        <f>SUM(N220:P220)</f>
        <v>0</v>
      </c>
      <c r="R220" s="72"/>
      <c r="S220" s="49">
        <f>M220-Q220</f>
        <v>0</v>
      </c>
      <c r="T220" s="49">
        <v>18000000</v>
      </c>
      <c r="U220" s="49">
        <f>T220+M220</f>
        <v>18000000</v>
      </c>
      <c r="V220" s="49">
        <f>T220+S220</f>
        <v>18000000</v>
      </c>
      <c r="W220" s="49"/>
      <c r="X220" s="49"/>
      <c r="Y220" s="49"/>
      <c r="Z220" s="49"/>
      <c r="AA220" s="49">
        <v>0</v>
      </c>
      <c r="AB220" s="49">
        <v>18000000</v>
      </c>
      <c r="AC220" s="49">
        <f t="shared" si="73"/>
        <v>0</v>
      </c>
      <c r="AD220" s="49">
        <f>AA220+T220+M220</f>
        <v>18000000</v>
      </c>
      <c r="AE220" s="49"/>
      <c r="AF220" s="49"/>
      <c r="AG220" s="49"/>
      <c r="AH220" s="49">
        <v>18000000</v>
      </c>
      <c r="AI220" s="49"/>
      <c r="AJ220" s="49"/>
      <c r="AK220" s="49">
        <f>Z220+Y220+X220+W220+N220+AG220+AJ220+AI220+AH220</f>
        <v>18000000</v>
      </c>
      <c r="AL220" s="49">
        <f>AK220/AD220*100</f>
        <v>100</v>
      </c>
      <c r="AM220" s="49"/>
      <c r="AN220" s="49"/>
      <c r="AO220" s="49"/>
      <c r="AP220" s="49"/>
      <c r="AQ220" s="49">
        <f>AK220+AM220+AN220+AO220+AP220</f>
        <v>18000000</v>
      </c>
      <c r="AR220" s="49">
        <f>AQ220/AB220*100</f>
        <v>100</v>
      </c>
      <c r="AS220" s="49">
        <f>AB220-AQ220</f>
        <v>0</v>
      </c>
      <c r="AT220" s="49">
        <v>3091500</v>
      </c>
      <c r="AU220" s="49">
        <f>AT220+U220</f>
        <v>21091500</v>
      </c>
      <c r="AV220" s="49">
        <f>AK220</f>
        <v>18000000</v>
      </c>
      <c r="AW220" s="72">
        <f>AV220/AU220*100</f>
        <v>85.342436526562835</v>
      </c>
      <c r="AX220" s="49">
        <f>AU220-AV220</f>
        <v>3091500</v>
      </c>
      <c r="AY220" s="49">
        <f>AS220/AB220*100</f>
        <v>0</v>
      </c>
      <c r="AZ220" s="73">
        <f t="shared" si="71"/>
        <v>18000000</v>
      </c>
    </row>
    <row r="221" spans="1:56" ht="20.100000000000001" customHeight="1">
      <c r="A221" s="62">
        <v>17</v>
      </c>
      <c r="B221" s="63"/>
      <c r="C221" s="242" t="s">
        <v>405</v>
      </c>
      <c r="D221" s="242"/>
      <c r="E221" s="243"/>
      <c r="F221" s="64"/>
      <c r="G221" s="244" t="s">
        <v>406</v>
      </c>
      <c r="H221" s="244"/>
      <c r="I221" s="244"/>
      <c r="J221" s="244"/>
      <c r="K221" s="245"/>
      <c r="L221" s="65">
        <f>L224</f>
        <v>500000000</v>
      </c>
      <c r="M221" s="65">
        <f>M224</f>
        <v>0</v>
      </c>
      <c r="N221" s="65">
        <f>N224</f>
        <v>0</v>
      </c>
      <c r="O221" s="65">
        <f>O224</f>
        <v>0</v>
      </c>
      <c r="P221" s="65">
        <f>P224</f>
        <v>0</v>
      </c>
      <c r="Q221" s="65">
        <f>SUM(N221:P221)</f>
        <v>0</v>
      </c>
      <c r="R221" s="66"/>
      <c r="S221" s="65">
        <f>M221-Q221</f>
        <v>0</v>
      </c>
      <c r="T221" s="65">
        <f>T224</f>
        <v>0</v>
      </c>
      <c r="U221" s="65">
        <f>T221+M221</f>
        <v>0</v>
      </c>
      <c r="V221" s="65">
        <f>T221+S221</f>
        <v>0</v>
      </c>
      <c r="W221" s="65">
        <f>W224</f>
        <v>0</v>
      </c>
      <c r="X221" s="65">
        <f>X224</f>
        <v>0</v>
      </c>
      <c r="Y221" s="65">
        <f>Y224</f>
        <v>0</v>
      </c>
      <c r="Z221" s="65"/>
      <c r="AA221" s="65">
        <f>AA224</f>
        <v>22000000</v>
      </c>
      <c r="AB221" s="65">
        <f>AB224</f>
        <v>500000000</v>
      </c>
      <c r="AC221" s="65">
        <f t="shared" si="73"/>
        <v>0</v>
      </c>
      <c r="AD221" s="65">
        <f>AA221+T221+M221</f>
        <v>22000000</v>
      </c>
      <c r="AE221" s="65">
        <f t="shared" ref="AE221:AK221" si="77">AE224</f>
        <v>0</v>
      </c>
      <c r="AF221" s="65">
        <f t="shared" si="77"/>
        <v>21978000</v>
      </c>
      <c r="AG221" s="65">
        <f t="shared" si="77"/>
        <v>0</v>
      </c>
      <c r="AH221" s="65">
        <f t="shared" si="77"/>
        <v>0</v>
      </c>
      <c r="AI221" s="65">
        <f t="shared" si="77"/>
        <v>0</v>
      </c>
      <c r="AJ221" s="65">
        <f t="shared" si="77"/>
        <v>0</v>
      </c>
      <c r="AK221" s="65">
        <f t="shared" si="77"/>
        <v>21978000</v>
      </c>
      <c r="AL221" s="65">
        <f>AK221/AB221*100</f>
        <v>4.3956</v>
      </c>
      <c r="AM221" s="65">
        <f>AM224</f>
        <v>478000000</v>
      </c>
      <c r="AN221" s="65">
        <f>AN224</f>
        <v>0</v>
      </c>
      <c r="AO221" s="65">
        <f>AO224</f>
        <v>0</v>
      </c>
      <c r="AP221" s="65">
        <f>AP224</f>
        <v>0</v>
      </c>
      <c r="AQ221" s="65">
        <f>AK221+AM221+AN221+AO221+AP221</f>
        <v>499978000</v>
      </c>
      <c r="AR221" s="65">
        <f>AQ221/AB221*100</f>
        <v>99.995599999999996</v>
      </c>
      <c r="AS221" s="65">
        <f>AB221-AQ221</f>
        <v>22000</v>
      </c>
      <c r="AT221" s="65">
        <f>SUM(AT224:AT230)</f>
        <v>21640500</v>
      </c>
      <c r="AU221" s="65">
        <f>AT221+U221</f>
        <v>21640500</v>
      </c>
      <c r="AV221" s="65">
        <f>AK221</f>
        <v>21978000</v>
      </c>
      <c r="AW221" s="66">
        <f>AV221/AU221*100</f>
        <v>101.55957579538367</v>
      </c>
      <c r="AX221" s="65">
        <f>AU221-AV221</f>
        <v>-337500</v>
      </c>
      <c r="AY221" s="65">
        <f>AS221/AB221*100</f>
        <v>4.4000000000000003E-3</v>
      </c>
      <c r="AZ221" s="67">
        <f t="shared" si="71"/>
        <v>499978000</v>
      </c>
    </row>
    <row r="222" spans="1:56" ht="20.100000000000001" hidden="1" customHeight="1">
      <c r="A222" s="68"/>
      <c r="B222" s="69"/>
      <c r="C222" s="240" t="s">
        <v>407</v>
      </c>
      <c r="D222" s="240"/>
      <c r="E222" s="241"/>
      <c r="F222" s="70"/>
      <c r="G222" s="71"/>
      <c r="H222" s="240" t="s">
        <v>270</v>
      </c>
      <c r="I222" s="240"/>
      <c r="J222" s="240"/>
      <c r="K222" s="241"/>
      <c r="L222" s="49"/>
      <c r="M222" s="49"/>
      <c r="N222" s="49"/>
      <c r="O222" s="49"/>
      <c r="P222" s="49"/>
      <c r="Q222" s="49"/>
      <c r="R222" s="72"/>
      <c r="S222" s="49"/>
      <c r="T222" s="49"/>
      <c r="U222" s="49"/>
      <c r="V222" s="49"/>
      <c r="W222" s="49"/>
      <c r="X222" s="49"/>
      <c r="Y222" s="49"/>
      <c r="Z222" s="49"/>
      <c r="AA222" s="49"/>
      <c r="AB222" s="49"/>
      <c r="AC222" s="49">
        <f t="shared" si="73"/>
        <v>0</v>
      </c>
      <c r="AD222" s="49"/>
      <c r="AE222" s="49"/>
      <c r="AF222" s="49"/>
      <c r="AG222" s="49"/>
      <c r="AH222" s="49"/>
      <c r="AI222" s="49"/>
      <c r="AJ222" s="49"/>
      <c r="AK222" s="49"/>
      <c r="AL222" s="49"/>
      <c r="AM222" s="49"/>
      <c r="AN222" s="49"/>
      <c r="AO222" s="49"/>
      <c r="AP222" s="49"/>
      <c r="AQ222" s="49"/>
      <c r="AR222" s="49"/>
      <c r="AS222" s="49"/>
      <c r="AT222" s="49"/>
      <c r="AU222" s="49"/>
      <c r="AV222" s="49"/>
      <c r="AW222" s="49"/>
      <c r="AX222" s="49"/>
      <c r="AY222" s="49"/>
      <c r="AZ222" s="73">
        <f t="shared" si="71"/>
        <v>0</v>
      </c>
      <c r="BA222" s="73"/>
      <c r="BB222" s="73"/>
      <c r="BC222" s="73"/>
      <c r="BD222" s="73"/>
    </row>
    <row r="223" spans="1:56" ht="20.100000000000001" hidden="1" customHeight="1">
      <c r="A223" s="68"/>
      <c r="B223" s="69"/>
      <c r="C223" s="240" t="s">
        <v>408</v>
      </c>
      <c r="D223" s="240"/>
      <c r="E223" s="241"/>
      <c r="F223" s="70"/>
      <c r="G223" s="71"/>
      <c r="H223" s="71"/>
      <c r="I223" s="240" t="s">
        <v>272</v>
      </c>
      <c r="J223" s="240"/>
      <c r="K223" s="241"/>
      <c r="L223" s="49"/>
      <c r="M223" s="49"/>
      <c r="N223" s="49"/>
      <c r="O223" s="49"/>
      <c r="P223" s="49"/>
      <c r="Q223" s="49"/>
      <c r="R223" s="72"/>
      <c r="S223" s="49"/>
      <c r="T223" s="49"/>
      <c r="U223" s="49"/>
      <c r="V223" s="49"/>
      <c r="W223" s="49"/>
      <c r="X223" s="49"/>
      <c r="Y223" s="49"/>
      <c r="Z223" s="49"/>
      <c r="AA223" s="49"/>
      <c r="AB223" s="49"/>
      <c r="AC223" s="49">
        <f t="shared" si="73"/>
        <v>0</v>
      </c>
      <c r="AD223" s="49"/>
      <c r="AE223" s="49"/>
      <c r="AF223" s="49"/>
      <c r="AG223" s="49"/>
      <c r="AH223" s="49"/>
      <c r="AI223" s="49"/>
      <c r="AJ223" s="49"/>
      <c r="AK223" s="49"/>
      <c r="AL223" s="49"/>
      <c r="AM223" s="49"/>
      <c r="AN223" s="49"/>
      <c r="AO223" s="49"/>
      <c r="AP223" s="49"/>
      <c r="AQ223" s="49"/>
      <c r="AR223" s="49"/>
      <c r="AS223" s="49"/>
      <c r="AT223" s="49"/>
      <c r="AU223" s="49"/>
      <c r="AV223" s="49"/>
      <c r="AW223" s="49"/>
      <c r="AX223" s="49"/>
      <c r="AY223" s="49"/>
      <c r="AZ223" s="73">
        <f t="shared" si="71"/>
        <v>0</v>
      </c>
      <c r="BA223" s="73"/>
      <c r="BB223" s="73"/>
      <c r="BC223" s="73"/>
      <c r="BD223" s="73"/>
    </row>
    <row r="224" spans="1:56" ht="20.100000000000001" hidden="1" customHeight="1">
      <c r="A224" s="68"/>
      <c r="B224" s="69"/>
      <c r="C224" s="240" t="s">
        <v>409</v>
      </c>
      <c r="D224" s="240"/>
      <c r="E224" s="241"/>
      <c r="F224" s="70"/>
      <c r="G224" s="71"/>
      <c r="H224" s="71"/>
      <c r="I224" s="71"/>
      <c r="J224" s="240" t="s">
        <v>274</v>
      </c>
      <c r="K224" s="241"/>
      <c r="L224" s="49">
        <v>500000000</v>
      </c>
      <c r="M224" s="49">
        <v>0</v>
      </c>
      <c r="N224" s="49"/>
      <c r="O224" s="49"/>
      <c r="P224" s="49"/>
      <c r="Q224" s="49">
        <f>SUM(N224:P224)</f>
        <v>0</v>
      </c>
      <c r="R224" s="72"/>
      <c r="S224" s="49">
        <f>M224-Q224</f>
        <v>0</v>
      </c>
      <c r="T224" s="49">
        <v>0</v>
      </c>
      <c r="U224" s="49">
        <f>T224+M224</f>
        <v>0</v>
      </c>
      <c r="V224" s="49">
        <f>T224+S224</f>
        <v>0</v>
      </c>
      <c r="W224" s="49"/>
      <c r="X224" s="49"/>
      <c r="Y224" s="49"/>
      <c r="Z224" s="49"/>
      <c r="AA224" s="49">
        <v>22000000</v>
      </c>
      <c r="AB224" s="49">
        <v>500000000</v>
      </c>
      <c r="AC224" s="49">
        <f t="shared" si="73"/>
        <v>0</v>
      </c>
      <c r="AD224" s="49">
        <f>AA224+T224+M224</f>
        <v>22000000</v>
      </c>
      <c r="AE224" s="49"/>
      <c r="AF224" s="49">
        <v>21978000</v>
      </c>
      <c r="AG224" s="49"/>
      <c r="AH224" s="49"/>
      <c r="AI224" s="49"/>
      <c r="AJ224" s="49"/>
      <c r="AK224" s="49">
        <f>Z224+Y224+X224+W224+N224+AG224+AF224</f>
        <v>21978000</v>
      </c>
      <c r="AL224" s="49">
        <f>AK224/AD224*100</f>
        <v>99.9</v>
      </c>
      <c r="AM224" s="48">
        <v>478000000</v>
      </c>
      <c r="AN224" s="49">
        <v>0</v>
      </c>
      <c r="AO224" s="49">
        <v>0</v>
      </c>
      <c r="AP224" s="49">
        <v>0</v>
      </c>
      <c r="AQ224" s="49">
        <f>AK224+AM224+AN224+AO224+AP224</f>
        <v>499978000</v>
      </c>
      <c r="AR224" s="49">
        <f>AQ224/AB224*100</f>
        <v>99.995599999999996</v>
      </c>
      <c r="AS224" s="49">
        <f>AB224-AQ224</f>
        <v>22000</v>
      </c>
      <c r="AT224" s="49">
        <v>3091500</v>
      </c>
      <c r="AU224" s="49">
        <f>AT224+U224</f>
        <v>3091500</v>
      </c>
      <c r="AV224" s="49">
        <f>AK224</f>
        <v>21978000</v>
      </c>
      <c r="AW224" s="72">
        <f>AV224/AU224*100</f>
        <v>710.91703056768563</v>
      </c>
      <c r="AX224" s="49">
        <f>AU224-AV224</f>
        <v>-18886500</v>
      </c>
      <c r="AY224" s="49">
        <f>AS224/AB224*100</f>
        <v>4.4000000000000003E-3</v>
      </c>
      <c r="AZ224" s="73">
        <f t="shared" si="71"/>
        <v>499978000</v>
      </c>
      <c r="BA224" s="73"/>
      <c r="BB224" s="73">
        <f>AS224</f>
        <v>22000</v>
      </c>
      <c r="BC224" s="73"/>
      <c r="BD224" s="73"/>
    </row>
    <row r="225" spans="1:53" ht="20.100000000000001" customHeight="1">
      <c r="A225" s="62">
        <v>18</v>
      </c>
      <c r="B225" s="63"/>
      <c r="C225" s="242" t="s">
        <v>410</v>
      </c>
      <c r="D225" s="242"/>
      <c r="E225" s="243"/>
      <c r="F225" s="64"/>
      <c r="G225" s="244" t="s">
        <v>411</v>
      </c>
      <c r="H225" s="244"/>
      <c r="I225" s="244"/>
      <c r="J225" s="244"/>
      <c r="K225" s="245"/>
      <c r="L225" s="65">
        <f>SUM(L228:L247)</f>
        <v>318000000</v>
      </c>
      <c r="M225" s="65">
        <f>SUM(M228:M247)</f>
        <v>0</v>
      </c>
      <c r="N225" s="65">
        <f>SUM(N228:N247)</f>
        <v>0</v>
      </c>
      <c r="O225" s="65">
        <f>SUM(O228:O247)</f>
        <v>0</v>
      </c>
      <c r="P225" s="65">
        <f>SUM(P228:P247)</f>
        <v>0</v>
      </c>
      <c r="Q225" s="65">
        <f>SUM(N225:P225)</f>
        <v>0</v>
      </c>
      <c r="R225" s="66"/>
      <c r="S225" s="65">
        <f>M225-Q225</f>
        <v>0</v>
      </c>
      <c r="T225" s="65">
        <f>SUM(T228:T247)</f>
        <v>0</v>
      </c>
      <c r="U225" s="65">
        <f>T225+M225</f>
        <v>0</v>
      </c>
      <c r="V225" s="65">
        <f>T225+S225</f>
        <v>0</v>
      </c>
      <c r="W225" s="65">
        <f>SUM(W228:W247)</f>
        <v>0</v>
      </c>
      <c r="X225" s="65">
        <f>SUM(X228:X247)</f>
        <v>0</v>
      </c>
      <c r="Y225" s="65">
        <f>SUM(Y228:Y247)</f>
        <v>0</v>
      </c>
      <c r="Z225" s="65"/>
      <c r="AA225" s="65">
        <f>SUM(AA228:AA247)</f>
        <v>305860000</v>
      </c>
      <c r="AB225" s="65">
        <f>SUM(AB228:AB247)</f>
        <v>318000000</v>
      </c>
      <c r="AC225" s="65">
        <f t="shared" si="73"/>
        <v>0</v>
      </c>
      <c r="AD225" s="65">
        <f>AA225+T225+M225</f>
        <v>305860000</v>
      </c>
      <c r="AE225" s="65">
        <f t="shared" ref="AE225:AK225" si="78">SUM(AE228:AE247)</f>
        <v>0</v>
      </c>
      <c r="AF225" s="65">
        <f t="shared" si="78"/>
        <v>88139400</v>
      </c>
      <c r="AG225" s="65">
        <f t="shared" si="78"/>
        <v>0</v>
      </c>
      <c r="AH225" s="65">
        <f t="shared" si="78"/>
        <v>189422200</v>
      </c>
      <c r="AI225" s="65">
        <f t="shared" si="78"/>
        <v>0</v>
      </c>
      <c r="AJ225" s="65">
        <f t="shared" si="78"/>
        <v>0</v>
      </c>
      <c r="AK225" s="65">
        <f t="shared" si="78"/>
        <v>277561600</v>
      </c>
      <c r="AL225" s="65">
        <f>AK225/AB225*100</f>
        <v>87.283522012578615</v>
      </c>
      <c r="AM225" s="65">
        <f>SUM(AM228:AM247)</f>
        <v>0</v>
      </c>
      <c r="AN225" s="65">
        <f>SUM(AN228:AN247)</f>
        <v>0</v>
      </c>
      <c r="AO225" s="42">
        <f>SUM(AO228:AO247)</f>
        <v>16575250</v>
      </c>
      <c r="AP225" s="65">
        <f>SUM(AP228:AP247)</f>
        <v>0</v>
      </c>
      <c r="AQ225" s="65">
        <f>AK225+AM225+AN225+AO225+AP225</f>
        <v>294136850</v>
      </c>
      <c r="AR225" s="65">
        <f>AQ225/AB225*100</f>
        <v>92.495864779874211</v>
      </c>
      <c r="AS225" s="65">
        <f>AB225-AQ225</f>
        <v>23863150</v>
      </c>
      <c r="AT225" s="65">
        <f>SUM(AT228:AT234)</f>
        <v>12366000</v>
      </c>
      <c r="AU225" s="65">
        <f>AT225+U225</f>
        <v>12366000</v>
      </c>
      <c r="AV225" s="65">
        <f>AK225</f>
        <v>277561600</v>
      </c>
      <c r="AW225" s="66">
        <f>AV225/AU225*100</f>
        <v>2244.554423419052</v>
      </c>
      <c r="AX225" s="65">
        <f>AU225-AV225</f>
        <v>-265195600</v>
      </c>
      <c r="AY225" s="65">
        <f>AS225/AB225*100</f>
        <v>7.5041352201257867</v>
      </c>
      <c r="AZ225" s="67">
        <f t="shared" si="71"/>
        <v>277561600</v>
      </c>
      <c r="BA225" s="29">
        <f>AS225</f>
        <v>23863150</v>
      </c>
    </row>
    <row r="226" spans="1:53" ht="20.100000000000001" hidden="1" customHeight="1">
      <c r="A226" s="68"/>
      <c r="B226" s="69"/>
      <c r="C226" s="240" t="s">
        <v>412</v>
      </c>
      <c r="D226" s="240"/>
      <c r="E226" s="241"/>
      <c r="F226" s="70"/>
      <c r="G226" s="71"/>
      <c r="H226" s="240" t="s">
        <v>10</v>
      </c>
      <c r="I226" s="240"/>
      <c r="J226" s="240"/>
      <c r="K226" s="241"/>
      <c r="L226" s="49"/>
      <c r="M226" s="49"/>
      <c r="N226" s="49"/>
      <c r="O226" s="49"/>
      <c r="P226" s="49"/>
      <c r="Q226" s="49"/>
      <c r="R226" s="72"/>
      <c r="S226" s="49"/>
      <c r="T226" s="49"/>
      <c r="U226" s="49"/>
      <c r="V226" s="49"/>
      <c r="W226" s="49"/>
      <c r="X226" s="49"/>
      <c r="Y226" s="49"/>
      <c r="Z226" s="49"/>
      <c r="AA226" s="49"/>
      <c r="AB226" s="49"/>
      <c r="AC226" s="49">
        <f t="shared" si="73"/>
        <v>0</v>
      </c>
      <c r="AD226" s="49"/>
      <c r="AE226" s="49"/>
      <c r="AF226" s="49"/>
      <c r="AG226" s="49"/>
      <c r="AH226" s="49"/>
      <c r="AI226" s="49"/>
      <c r="AJ226" s="49"/>
      <c r="AK226" s="49"/>
      <c r="AL226" s="49"/>
      <c r="AM226" s="49"/>
      <c r="AN226" s="49">
        <f>40438400-AO225</f>
        <v>23863150</v>
      </c>
      <c r="AO226" s="49"/>
      <c r="AP226" s="49"/>
      <c r="AQ226" s="49"/>
      <c r="AR226" s="49"/>
      <c r="AS226" s="49"/>
      <c r="AT226" s="49"/>
      <c r="AU226" s="49"/>
      <c r="AV226" s="49"/>
      <c r="AW226" s="49"/>
      <c r="AX226" s="49"/>
      <c r="AY226" s="49"/>
      <c r="AZ226" s="73">
        <f t="shared" si="71"/>
        <v>0</v>
      </c>
      <c r="BA226" s="73"/>
    </row>
    <row r="227" spans="1:53" ht="20.100000000000001" hidden="1" customHeight="1">
      <c r="A227" s="68"/>
      <c r="B227" s="69"/>
      <c r="C227" s="240" t="s">
        <v>413</v>
      </c>
      <c r="D227" s="240"/>
      <c r="E227" s="241"/>
      <c r="F227" s="70"/>
      <c r="G227" s="71"/>
      <c r="H227" s="71"/>
      <c r="I227" s="240" t="s">
        <v>177</v>
      </c>
      <c r="J227" s="240"/>
      <c r="K227" s="241"/>
      <c r="L227" s="49"/>
      <c r="M227" s="49"/>
      <c r="N227" s="49"/>
      <c r="O227" s="49"/>
      <c r="P227" s="49"/>
      <c r="Q227" s="49"/>
      <c r="R227" s="72"/>
      <c r="S227" s="49"/>
      <c r="T227" s="49"/>
      <c r="U227" s="49"/>
      <c r="V227" s="49"/>
      <c r="W227" s="49"/>
      <c r="X227" s="49"/>
      <c r="Y227" s="49"/>
      <c r="Z227" s="49"/>
      <c r="AA227" s="49"/>
      <c r="AB227" s="49"/>
      <c r="AC227" s="49">
        <f t="shared" si="73"/>
        <v>0</v>
      </c>
      <c r="AD227" s="49"/>
      <c r="AE227" s="49"/>
      <c r="AF227" s="49"/>
      <c r="AG227" s="49"/>
      <c r="AH227" s="49"/>
      <c r="AI227" s="49"/>
      <c r="AJ227" s="49"/>
      <c r="AK227" s="49"/>
      <c r="AL227" s="49"/>
      <c r="AM227" s="49"/>
      <c r="AN227" s="49"/>
      <c r="AO227" s="49"/>
      <c r="AP227" s="49"/>
      <c r="AQ227" s="49"/>
      <c r="AR227" s="49"/>
      <c r="AS227" s="49"/>
      <c r="AT227" s="49"/>
      <c r="AU227" s="49"/>
      <c r="AV227" s="49"/>
      <c r="AW227" s="49"/>
      <c r="AX227" s="49"/>
      <c r="AY227" s="49"/>
      <c r="AZ227" s="73">
        <f t="shared" si="71"/>
        <v>0</v>
      </c>
      <c r="BA227" s="73"/>
    </row>
    <row r="228" spans="1:53" ht="20.100000000000001" hidden="1" customHeight="1">
      <c r="A228" s="68"/>
      <c r="B228" s="69"/>
      <c r="C228" s="240" t="s">
        <v>414</v>
      </c>
      <c r="D228" s="240"/>
      <c r="E228" s="241"/>
      <c r="F228" s="70"/>
      <c r="G228" s="71"/>
      <c r="H228" s="71"/>
      <c r="I228" s="71"/>
      <c r="J228" s="240" t="s">
        <v>283</v>
      </c>
      <c r="K228" s="241"/>
      <c r="L228" s="49">
        <v>6450000</v>
      </c>
      <c r="M228" s="49">
        <v>0</v>
      </c>
      <c r="N228" s="49"/>
      <c r="O228" s="49"/>
      <c r="P228" s="49"/>
      <c r="Q228" s="49">
        <f>SUM(N228:P228)</f>
        <v>0</v>
      </c>
      <c r="R228" s="72"/>
      <c r="S228" s="49">
        <f>M228-Q228</f>
        <v>0</v>
      </c>
      <c r="T228" s="49">
        <v>0</v>
      </c>
      <c r="U228" s="49">
        <f>T228+M228</f>
        <v>0</v>
      </c>
      <c r="V228" s="49">
        <f>T228+S228</f>
        <v>0</v>
      </c>
      <c r="W228" s="49"/>
      <c r="X228" s="49"/>
      <c r="Y228" s="49"/>
      <c r="Z228" s="49"/>
      <c r="AA228" s="49">
        <v>6450000</v>
      </c>
      <c r="AB228" s="49">
        <v>6450000</v>
      </c>
      <c r="AC228" s="49">
        <f t="shared" si="73"/>
        <v>0</v>
      </c>
      <c r="AD228" s="49">
        <f>AA228+T228+M228</f>
        <v>6450000</v>
      </c>
      <c r="AE228" s="49"/>
      <c r="AF228" s="49"/>
      <c r="AG228" s="49"/>
      <c r="AH228" s="49">
        <v>6450000</v>
      </c>
      <c r="AI228" s="49"/>
      <c r="AJ228" s="49"/>
      <c r="AK228" s="49">
        <f>Z228+Y228+X228+W228+N228+AG228+AJ228+AI228+AH228</f>
        <v>6450000</v>
      </c>
      <c r="AL228" s="49">
        <f>AK228/AD228*100</f>
        <v>100</v>
      </c>
      <c r="AM228" s="49"/>
      <c r="AN228" s="49"/>
      <c r="AO228" s="49"/>
      <c r="AP228" s="49"/>
      <c r="AQ228" s="49">
        <f>AK228+AM228+AN228+AO228+AP228</f>
        <v>6450000</v>
      </c>
      <c r="AR228" s="49">
        <f>AQ228/AB228*100</f>
        <v>100</v>
      </c>
      <c r="AS228" s="49">
        <f>AB228-AQ228</f>
        <v>0</v>
      </c>
      <c r="AT228" s="49">
        <v>3091500</v>
      </c>
      <c r="AU228" s="49">
        <f>AT228+U228</f>
        <v>3091500</v>
      </c>
      <c r="AV228" s="49">
        <f>AK228</f>
        <v>6450000</v>
      </c>
      <c r="AW228" s="72">
        <f>AV228/AU228*100</f>
        <v>208.63658418243571</v>
      </c>
      <c r="AX228" s="49">
        <f>AU228-AV228</f>
        <v>-3358500</v>
      </c>
      <c r="AY228" s="49">
        <f>AS228/AB228*100</f>
        <v>0</v>
      </c>
      <c r="AZ228" s="73">
        <f t="shared" ref="AZ228:AZ291" si="79">AQ228-AO228</f>
        <v>6450000</v>
      </c>
      <c r="BA228" s="73"/>
    </row>
    <row r="229" spans="1:53" ht="20.100000000000001" hidden="1" customHeight="1">
      <c r="A229" s="68"/>
      <c r="B229" s="69"/>
      <c r="C229" s="240" t="s">
        <v>415</v>
      </c>
      <c r="D229" s="240"/>
      <c r="E229" s="241"/>
      <c r="F229" s="70"/>
      <c r="G229" s="71"/>
      <c r="H229" s="71"/>
      <c r="I229" s="71"/>
      <c r="J229" s="240" t="s">
        <v>384</v>
      </c>
      <c r="K229" s="241"/>
      <c r="L229" s="49">
        <v>1300000</v>
      </c>
      <c r="M229" s="49">
        <v>0</v>
      </c>
      <c r="N229" s="49"/>
      <c r="O229" s="49"/>
      <c r="P229" s="49"/>
      <c r="Q229" s="49">
        <f>SUM(N229:P229)</f>
        <v>0</v>
      </c>
      <c r="R229" s="72"/>
      <c r="S229" s="49">
        <f>M229-Q229</f>
        <v>0</v>
      </c>
      <c r="T229" s="49">
        <v>0</v>
      </c>
      <c r="U229" s="49">
        <f>T229+M229</f>
        <v>0</v>
      </c>
      <c r="V229" s="49">
        <f>T229+S229</f>
        <v>0</v>
      </c>
      <c r="W229" s="49"/>
      <c r="X229" s="49"/>
      <c r="Y229" s="49"/>
      <c r="Z229" s="49"/>
      <c r="AA229" s="49">
        <v>1300000</v>
      </c>
      <c r="AB229" s="49">
        <v>1300000</v>
      </c>
      <c r="AC229" s="49">
        <f t="shared" si="73"/>
        <v>0</v>
      </c>
      <c r="AD229" s="49">
        <f>AA229+T229+M229</f>
        <v>1300000</v>
      </c>
      <c r="AE229" s="49"/>
      <c r="AF229" s="49"/>
      <c r="AG229" s="49"/>
      <c r="AH229" s="49">
        <v>1300000</v>
      </c>
      <c r="AI229" s="49"/>
      <c r="AJ229" s="49"/>
      <c r="AK229" s="49">
        <f>Z229+Y229+X229+W229+N229+AG229+AJ229+AI229+AH229</f>
        <v>1300000</v>
      </c>
      <c r="AL229" s="49">
        <f>AK229/AD229*100</f>
        <v>100</v>
      </c>
      <c r="AM229" s="49"/>
      <c r="AN229" s="49"/>
      <c r="AO229" s="49"/>
      <c r="AP229" s="49"/>
      <c r="AQ229" s="49">
        <f>AK229+AM229+AN229+AO229+AP229</f>
        <v>1300000</v>
      </c>
      <c r="AR229" s="49">
        <f>AQ229/AB229*100</f>
        <v>100</v>
      </c>
      <c r="AS229" s="49">
        <f>AB229-AQ229</f>
        <v>0</v>
      </c>
      <c r="AT229" s="49">
        <v>3091500</v>
      </c>
      <c r="AU229" s="49">
        <f>AT229+U229</f>
        <v>3091500</v>
      </c>
      <c r="AV229" s="49">
        <f>AK229</f>
        <v>1300000</v>
      </c>
      <c r="AW229" s="72">
        <f>AV229/AU229*100</f>
        <v>42.050784408863009</v>
      </c>
      <c r="AX229" s="49">
        <f>AU229-AV229</f>
        <v>1791500</v>
      </c>
      <c r="AY229" s="49">
        <f>AS229/AB229*100</f>
        <v>0</v>
      </c>
      <c r="AZ229" s="73">
        <f t="shared" si="79"/>
        <v>1300000</v>
      </c>
      <c r="BA229" s="73"/>
    </row>
    <row r="230" spans="1:53" ht="20.100000000000001" hidden="1" customHeight="1">
      <c r="A230" s="68"/>
      <c r="B230" s="69"/>
      <c r="C230" s="240" t="s">
        <v>416</v>
      </c>
      <c r="D230" s="240"/>
      <c r="E230" s="241"/>
      <c r="F230" s="70"/>
      <c r="G230" s="71"/>
      <c r="H230" s="240" t="s">
        <v>143</v>
      </c>
      <c r="I230" s="240"/>
      <c r="J230" s="240"/>
      <c r="K230" s="241"/>
      <c r="L230" s="49"/>
      <c r="M230" s="49"/>
      <c r="N230" s="49"/>
      <c r="O230" s="49"/>
      <c r="P230" s="49"/>
      <c r="Q230" s="49"/>
      <c r="R230" s="72"/>
      <c r="S230" s="49"/>
      <c r="T230" s="49"/>
      <c r="U230" s="49"/>
      <c r="V230" s="49"/>
      <c r="W230" s="49"/>
      <c r="X230" s="49"/>
      <c r="Y230" s="49"/>
      <c r="Z230" s="49"/>
      <c r="AA230" s="49"/>
      <c r="AB230" s="49"/>
      <c r="AC230" s="49">
        <f t="shared" si="73"/>
        <v>0</v>
      </c>
      <c r="AD230" s="49"/>
      <c r="AE230" s="49"/>
      <c r="AF230" s="49"/>
      <c r="AG230" s="49"/>
      <c r="AH230" s="49"/>
      <c r="AI230" s="49"/>
      <c r="AJ230" s="49"/>
      <c r="AK230" s="49"/>
      <c r="AL230" s="49"/>
      <c r="AM230" s="49"/>
      <c r="AN230" s="49"/>
      <c r="AO230" s="49"/>
      <c r="AP230" s="49"/>
      <c r="AQ230" s="49"/>
      <c r="AR230" s="49"/>
      <c r="AS230" s="49"/>
      <c r="AT230" s="49"/>
      <c r="AU230" s="49"/>
      <c r="AV230" s="49"/>
      <c r="AW230" s="49"/>
      <c r="AX230" s="49"/>
      <c r="AY230" s="49"/>
      <c r="AZ230" s="73">
        <f t="shared" si="79"/>
        <v>0</v>
      </c>
      <c r="BA230" s="73"/>
    </row>
    <row r="231" spans="1:53" ht="20.100000000000001" hidden="1" customHeight="1">
      <c r="A231" s="68"/>
      <c r="B231" s="69"/>
      <c r="C231" s="240" t="s">
        <v>417</v>
      </c>
      <c r="D231" s="240"/>
      <c r="E231" s="241"/>
      <c r="F231" s="70"/>
      <c r="G231" s="71"/>
      <c r="H231" s="71"/>
      <c r="I231" s="240" t="s">
        <v>145</v>
      </c>
      <c r="J231" s="240"/>
      <c r="K231" s="241"/>
      <c r="L231" s="49"/>
      <c r="M231" s="49"/>
      <c r="N231" s="49"/>
      <c r="O231" s="49"/>
      <c r="P231" s="49"/>
      <c r="Q231" s="49"/>
      <c r="R231" s="72"/>
      <c r="S231" s="49"/>
      <c r="T231" s="49"/>
      <c r="U231" s="49"/>
      <c r="V231" s="49"/>
      <c r="W231" s="49"/>
      <c r="X231" s="49"/>
      <c r="Y231" s="49"/>
      <c r="Z231" s="49"/>
      <c r="AA231" s="49"/>
      <c r="AB231" s="49"/>
      <c r="AC231" s="49">
        <f t="shared" si="73"/>
        <v>0</v>
      </c>
      <c r="AD231" s="49"/>
      <c r="AE231" s="49"/>
      <c r="AF231" s="49"/>
      <c r="AG231" s="49"/>
      <c r="AH231" s="49"/>
      <c r="AI231" s="49"/>
      <c r="AJ231" s="49"/>
      <c r="AK231" s="49"/>
      <c r="AL231" s="49"/>
      <c r="AM231" s="49"/>
      <c r="AN231" s="49"/>
      <c r="AO231" s="49"/>
      <c r="AP231" s="49"/>
      <c r="AQ231" s="49"/>
      <c r="AR231" s="49"/>
      <c r="AS231" s="49"/>
      <c r="AT231" s="49"/>
      <c r="AU231" s="49"/>
      <c r="AV231" s="49"/>
      <c r="AW231" s="49"/>
      <c r="AX231" s="49"/>
      <c r="AY231" s="49"/>
      <c r="AZ231" s="73">
        <f t="shared" si="79"/>
        <v>0</v>
      </c>
      <c r="BA231" s="73"/>
    </row>
    <row r="232" spans="1:53" ht="20.100000000000001" hidden="1" customHeight="1">
      <c r="A232" s="68"/>
      <c r="B232" s="69"/>
      <c r="C232" s="240" t="s">
        <v>418</v>
      </c>
      <c r="D232" s="240"/>
      <c r="E232" s="241"/>
      <c r="F232" s="70"/>
      <c r="G232" s="71"/>
      <c r="H232" s="71"/>
      <c r="I232" s="71"/>
      <c r="J232" s="240" t="s">
        <v>147</v>
      </c>
      <c r="K232" s="241"/>
      <c r="L232" s="49">
        <v>5917200</v>
      </c>
      <c r="M232" s="49">
        <v>0</v>
      </c>
      <c r="N232" s="49"/>
      <c r="O232" s="49"/>
      <c r="P232" s="49"/>
      <c r="Q232" s="49">
        <f>SUM(N232:P232)</f>
        <v>0</v>
      </c>
      <c r="R232" s="72"/>
      <c r="S232" s="49">
        <f>M232-Q232</f>
        <v>0</v>
      </c>
      <c r="T232" s="49">
        <v>0</v>
      </c>
      <c r="U232" s="49">
        <f>T232+M232</f>
        <v>0</v>
      </c>
      <c r="V232" s="49">
        <f>T232+S232</f>
        <v>0</v>
      </c>
      <c r="W232" s="49"/>
      <c r="X232" s="49"/>
      <c r="Y232" s="49"/>
      <c r="Z232" s="49"/>
      <c r="AA232" s="49">
        <v>5917200</v>
      </c>
      <c r="AB232" s="49">
        <v>5917200</v>
      </c>
      <c r="AC232" s="49">
        <f t="shared" si="73"/>
        <v>0</v>
      </c>
      <c r="AD232" s="49">
        <f>AA232+T232+M232</f>
        <v>5917200</v>
      </c>
      <c r="AE232" s="49"/>
      <c r="AF232" s="49"/>
      <c r="AG232" s="49"/>
      <c r="AH232" s="49">
        <v>5917200</v>
      </c>
      <c r="AI232" s="49"/>
      <c r="AJ232" s="49"/>
      <c r="AK232" s="49">
        <f>Z232+Y232+X232+W232+N232+AG232+AJ232+AI232+AH232</f>
        <v>5917200</v>
      </c>
      <c r="AL232" s="49">
        <f>AK232/AD232*100</f>
        <v>100</v>
      </c>
      <c r="AM232" s="49"/>
      <c r="AN232" s="49"/>
      <c r="AO232" s="49"/>
      <c r="AP232" s="49"/>
      <c r="AQ232" s="49">
        <f>AK232+AM232+AN232+AO232+AP232</f>
        <v>5917200</v>
      </c>
      <c r="AR232" s="49">
        <f>AQ232/AB232*100</f>
        <v>100</v>
      </c>
      <c r="AS232" s="49">
        <f>AB232-AQ232</f>
        <v>0</v>
      </c>
      <c r="AT232" s="49">
        <v>3091500</v>
      </c>
      <c r="AU232" s="49">
        <f>AT232+U232</f>
        <v>3091500</v>
      </c>
      <c r="AV232" s="49">
        <f>AK232</f>
        <v>5917200</v>
      </c>
      <c r="AW232" s="72">
        <f>AV232/AU232*100</f>
        <v>191.40223192624939</v>
      </c>
      <c r="AX232" s="49">
        <f>AU232-AV232</f>
        <v>-2825700</v>
      </c>
      <c r="AY232" s="49">
        <f>AS232/AB232*100</f>
        <v>0</v>
      </c>
      <c r="AZ232" s="73">
        <f t="shared" si="79"/>
        <v>5917200</v>
      </c>
      <c r="BA232" s="73"/>
    </row>
    <row r="233" spans="1:53" ht="20.100000000000001" hidden="1" customHeight="1">
      <c r="A233" s="68"/>
      <c r="B233" s="69"/>
      <c r="C233" s="240" t="s">
        <v>419</v>
      </c>
      <c r="D233" s="240"/>
      <c r="E233" s="241"/>
      <c r="F233" s="70"/>
      <c r="G233" s="71"/>
      <c r="H233" s="71"/>
      <c r="I233" s="240" t="s">
        <v>389</v>
      </c>
      <c r="J233" s="240"/>
      <c r="K233" s="241"/>
      <c r="L233" s="49"/>
      <c r="M233" s="49"/>
      <c r="N233" s="49"/>
      <c r="O233" s="49"/>
      <c r="P233" s="49"/>
      <c r="Q233" s="49"/>
      <c r="R233" s="72"/>
      <c r="S233" s="49"/>
      <c r="T233" s="49"/>
      <c r="U233" s="49"/>
      <c r="V233" s="49"/>
      <c r="W233" s="49"/>
      <c r="X233" s="49"/>
      <c r="Y233" s="49"/>
      <c r="Z233" s="49"/>
      <c r="AA233" s="49"/>
      <c r="AB233" s="49"/>
      <c r="AC233" s="49">
        <f t="shared" si="73"/>
        <v>0</v>
      </c>
      <c r="AD233" s="49"/>
      <c r="AE233" s="49"/>
      <c r="AF233" s="49"/>
      <c r="AG233" s="49"/>
      <c r="AH233" s="49"/>
      <c r="AI233" s="49"/>
      <c r="AJ233" s="49"/>
      <c r="AK233" s="49"/>
      <c r="AL233" s="49"/>
      <c r="AM233" s="49"/>
      <c r="AN233" s="49"/>
      <c r="AO233" s="49"/>
      <c r="AP233" s="49"/>
      <c r="AQ233" s="49"/>
      <c r="AR233" s="49"/>
      <c r="AS233" s="49"/>
      <c r="AT233" s="49"/>
      <c r="AU233" s="49"/>
      <c r="AV233" s="49"/>
      <c r="AW233" s="49"/>
      <c r="AX233" s="49"/>
      <c r="AY233" s="49"/>
      <c r="AZ233" s="73">
        <f t="shared" si="79"/>
        <v>0</v>
      </c>
      <c r="BA233" s="73"/>
    </row>
    <row r="234" spans="1:53" ht="20.100000000000001" hidden="1" customHeight="1">
      <c r="A234" s="68"/>
      <c r="B234" s="69"/>
      <c r="C234" s="240" t="s">
        <v>420</v>
      </c>
      <c r="D234" s="240"/>
      <c r="E234" s="241"/>
      <c r="F234" s="70"/>
      <c r="G234" s="71"/>
      <c r="H234" s="71"/>
      <c r="I234" s="71"/>
      <c r="J234" s="240" t="s">
        <v>391</v>
      </c>
      <c r="K234" s="241"/>
      <c r="L234" s="49">
        <v>88762550</v>
      </c>
      <c r="M234" s="49">
        <v>0</v>
      </c>
      <c r="N234" s="49"/>
      <c r="O234" s="49"/>
      <c r="P234" s="49"/>
      <c r="Q234" s="49">
        <f>SUM(N234:P234)</f>
        <v>0</v>
      </c>
      <c r="R234" s="72"/>
      <c r="S234" s="49">
        <f>M234-Q234</f>
        <v>0</v>
      </c>
      <c r="T234" s="49">
        <v>0</v>
      </c>
      <c r="U234" s="49">
        <f>T234+M234</f>
        <v>0</v>
      </c>
      <c r="V234" s="49">
        <f>T234+S234</f>
        <v>0</v>
      </c>
      <c r="W234" s="49"/>
      <c r="X234" s="49"/>
      <c r="Y234" s="49"/>
      <c r="Z234" s="49"/>
      <c r="AA234" s="49">
        <v>88762550</v>
      </c>
      <c r="AB234" s="49">
        <v>88762550</v>
      </c>
      <c r="AC234" s="49">
        <f t="shared" si="73"/>
        <v>0</v>
      </c>
      <c r="AD234" s="49">
        <f>AA234+T234+M234</f>
        <v>88762550</v>
      </c>
      <c r="AE234" s="49"/>
      <c r="AF234" s="49">
        <v>88139400</v>
      </c>
      <c r="AG234" s="49"/>
      <c r="AH234" s="49"/>
      <c r="AI234" s="49"/>
      <c r="AJ234" s="49"/>
      <c r="AK234" s="49">
        <f>Z234+Y234+X234+W234+N234+AG234+AH234+AF234</f>
        <v>88139400</v>
      </c>
      <c r="AL234" s="49">
        <f>AK234/AD234*100</f>
        <v>99.297958429540387</v>
      </c>
      <c r="AM234" s="49"/>
      <c r="AN234" s="49"/>
      <c r="AO234" s="49"/>
      <c r="AP234" s="49"/>
      <c r="AQ234" s="49">
        <f>AK234+AM234+AN234+AO234+AP234</f>
        <v>88139400</v>
      </c>
      <c r="AR234" s="49">
        <f>AQ234/AB234*100</f>
        <v>99.297958429540387</v>
      </c>
      <c r="AS234" s="49">
        <f>AB234-AQ234</f>
        <v>623150</v>
      </c>
      <c r="AT234" s="49">
        <v>3091500</v>
      </c>
      <c r="AU234" s="49">
        <f>AT234+U234</f>
        <v>3091500</v>
      </c>
      <c r="AV234" s="49">
        <f>AK234</f>
        <v>88139400</v>
      </c>
      <c r="AW234" s="72">
        <f>AV234/AU234*100</f>
        <v>2851.0237748665695</v>
      </c>
      <c r="AX234" s="49">
        <f>AU234-AV234</f>
        <v>-85047900</v>
      </c>
      <c r="AY234" s="49">
        <f>AS234/AB234*100</f>
        <v>0.70204157045961391</v>
      </c>
      <c r="AZ234" s="73">
        <f t="shared" si="79"/>
        <v>88139400</v>
      </c>
      <c r="BA234" s="73"/>
    </row>
    <row r="235" spans="1:53" ht="20.100000000000001" hidden="1" customHeight="1">
      <c r="A235" s="68"/>
      <c r="B235" s="69"/>
      <c r="C235" s="240" t="s">
        <v>421</v>
      </c>
      <c r="D235" s="240"/>
      <c r="E235" s="241"/>
      <c r="F235" s="70"/>
      <c r="G235" s="71"/>
      <c r="H235" s="71"/>
      <c r="I235" s="240" t="s">
        <v>163</v>
      </c>
      <c r="J235" s="240"/>
      <c r="K235" s="241"/>
      <c r="L235" s="49"/>
      <c r="M235" s="49"/>
      <c r="N235" s="49"/>
      <c r="O235" s="49"/>
      <c r="P235" s="49"/>
      <c r="Q235" s="49"/>
      <c r="R235" s="72"/>
      <c r="S235" s="49"/>
      <c r="T235" s="49"/>
      <c r="U235" s="49"/>
      <c r="V235" s="49"/>
      <c r="W235" s="49"/>
      <c r="X235" s="49"/>
      <c r="Y235" s="49"/>
      <c r="Z235" s="49"/>
      <c r="AA235" s="49"/>
      <c r="AB235" s="49"/>
      <c r="AC235" s="49">
        <f t="shared" si="73"/>
        <v>0</v>
      </c>
      <c r="AD235" s="49"/>
      <c r="AE235" s="49"/>
      <c r="AF235" s="49"/>
      <c r="AG235" s="49"/>
      <c r="AH235" s="49"/>
      <c r="AI235" s="49"/>
      <c r="AJ235" s="49"/>
      <c r="AK235" s="49"/>
      <c r="AL235" s="49"/>
      <c r="AM235" s="49"/>
      <c r="AN235" s="49"/>
      <c r="AO235" s="49"/>
      <c r="AP235" s="49"/>
      <c r="AQ235" s="49"/>
      <c r="AR235" s="49"/>
      <c r="AS235" s="49"/>
      <c r="AT235" s="49"/>
      <c r="AU235" s="49"/>
      <c r="AV235" s="49"/>
      <c r="AW235" s="49"/>
      <c r="AX235" s="49"/>
      <c r="AY235" s="49"/>
      <c r="AZ235" s="73">
        <f t="shared" si="79"/>
        <v>0</v>
      </c>
      <c r="BA235" s="73"/>
    </row>
    <row r="236" spans="1:53" ht="20.100000000000001" hidden="1" customHeight="1">
      <c r="A236" s="68"/>
      <c r="B236" s="69"/>
      <c r="C236" s="240" t="s">
        <v>422</v>
      </c>
      <c r="D236" s="240"/>
      <c r="E236" s="241"/>
      <c r="F236" s="70"/>
      <c r="G236" s="71"/>
      <c r="H236" s="71"/>
      <c r="I236" s="71"/>
      <c r="J236" s="240" t="s">
        <v>349</v>
      </c>
      <c r="K236" s="241"/>
      <c r="L236" s="49">
        <v>900000</v>
      </c>
      <c r="M236" s="49">
        <v>0</v>
      </c>
      <c r="N236" s="49"/>
      <c r="O236" s="49"/>
      <c r="P236" s="49"/>
      <c r="Q236" s="49">
        <f>SUM(N236:P236)</f>
        <v>0</v>
      </c>
      <c r="R236" s="72"/>
      <c r="S236" s="49">
        <f>M236-Q236</f>
        <v>0</v>
      </c>
      <c r="T236" s="49">
        <v>0</v>
      </c>
      <c r="U236" s="49">
        <f>T236+M236</f>
        <v>0</v>
      </c>
      <c r="V236" s="49">
        <f>T236+S236</f>
        <v>0</v>
      </c>
      <c r="W236" s="49"/>
      <c r="X236" s="49"/>
      <c r="Y236" s="49"/>
      <c r="Z236" s="49"/>
      <c r="AA236" s="49">
        <v>900000</v>
      </c>
      <c r="AB236" s="49">
        <v>900000</v>
      </c>
      <c r="AC236" s="49">
        <f t="shared" si="73"/>
        <v>0</v>
      </c>
      <c r="AD236" s="49">
        <f>AA236+T236+M236</f>
        <v>900000</v>
      </c>
      <c r="AE236" s="49"/>
      <c r="AF236" s="49"/>
      <c r="AG236" s="49"/>
      <c r="AH236" s="49">
        <v>450000</v>
      </c>
      <c r="AI236" s="49"/>
      <c r="AJ236" s="49"/>
      <c r="AK236" s="49">
        <f>Z236+Y236+X236+W236+N236+AG236+AJ236+AI236+AH236</f>
        <v>450000</v>
      </c>
      <c r="AL236" s="49">
        <f>AK236/AD236*100</f>
        <v>50</v>
      </c>
      <c r="AM236" s="49"/>
      <c r="AN236" s="49"/>
      <c r="AO236" s="42">
        <v>50000</v>
      </c>
      <c r="AP236" s="49"/>
      <c r="AQ236" s="49">
        <f>AK236+AM236+AN236+AO236+AP236</f>
        <v>500000</v>
      </c>
      <c r="AR236" s="49">
        <f>AQ236/AB236*100</f>
        <v>55.555555555555557</v>
      </c>
      <c r="AS236" s="49">
        <f>AB236-AQ236</f>
        <v>400000</v>
      </c>
      <c r="AT236" s="49">
        <v>3091500</v>
      </c>
      <c r="AU236" s="49">
        <f>AT236+U236</f>
        <v>3091500</v>
      </c>
      <c r="AV236" s="49">
        <f>AK236</f>
        <v>450000</v>
      </c>
      <c r="AW236" s="72">
        <f>AV236/AU236*100</f>
        <v>14.556040756914118</v>
      </c>
      <c r="AX236" s="49">
        <f>AU236-AV236</f>
        <v>2641500</v>
      </c>
      <c r="AY236" s="49">
        <f>AS236/AB236*100</f>
        <v>44.444444444444443</v>
      </c>
      <c r="AZ236" s="73">
        <f t="shared" si="79"/>
        <v>450000</v>
      </c>
      <c r="BA236" s="73"/>
    </row>
    <row r="237" spans="1:53" ht="20.100000000000001" hidden="1" customHeight="1">
      <c r="A237" s="68"/>
      <c r="B237" s="69"/>
      <c r="C237" s="240" t="s">
        <v>423</v>
      </c>
      <c r="D237" s="240"/>
      <c r="E237" s="241"/>
      <c r="F237" s="70"/>
      <c r="G237" s="71"/>
      <c r="H237" s="71"/>
      <c r="I237" s="71"/>
      <c r="J237" s="240" t="s">
        <v>352</v>
      </c>
      <c r="K237" s="241"/>
      <c r="L237" s="49">
        <v>120000000</v>
      </c>
      <c r="M237" s="49">
        <v>0</v>
      </c>
      <c r="N237" s="49"/>
      <c r="O237" s="49"/>
      <c r="P237" s="49"/>
      <c r="Q237" s="49">
        <f>SUM(N237:P237)</f>
        <v>0</v>
      </c>
      <c r="R237" s="72"/>
      <c r="S237" s="49">
        <f>M237-Q237</f>
        <v>0</v>
      </c>
      <c r="T237" s="49">
        <v>0</v>
      </c>
      <c r="U237" s="49">
        <f>T237+M237</f>
        <v>0</v>
      </c>
      <c r="V237" s="49">
        <f>T237+S237</f>
        <v>0</v>
      </c>
      <c r="W237" s="49"/>
      <c r="X237" s="49"/>
      <c r="Y237" s="49"/>
      <c r="Z237" s="49"/>
      <c r="AA237" s="49">
        <v>120000000</v>
      </c>
      <c r="AB237" s="49">
        <v>120000000</v>
      </c>
      <c r="AC237" s="49">
        <f t="shared" si="73"/>
        <v>0</v>
      </c>
      <c r="AD237" s="49">
        <f>AA237+T237+M237</f>
        <v>120000000</v>
      </c>
      <c r="AE237" s="49"/>
      <c r="AF237" s="49"/>
      <c r="AG237" s="49"/>
      <c r="AH237" s="49">
        <v>101825000</v>
      </c>
      <c r="AI237" s="49"/>
      <c r="AJ237" s="49"/>
      <c r="AK237" s="49">
        <f>Z237+Y237+X237+W237+N237+AG237+AJ237+AI237+AH237</f>
        <v>101825000</v>
      </c>
      <c r="AL237" s="49">
        <f>AK237/AD237*100</f>
        <v>84.854166666666657</v>
      </c>
      <c r="AM237" s="49"/>
      <c r="AN237" s="49"/>
      <c r="AO237" s="42">
        <v>7200000</v>
      </c>
      <c r="AP237" s="49"/>
      <c r="AQ237" s="49">
        <f>AK237+AM237+AN237+AO237+AP237</f>
        <v>109025000</v>
      </c>
      <c r="AR237" s="49">
        <f>AQ237/AB237*100</f>
        <v>90.854166666666671</v>
      </c>
      <c r="AS237" s="49">
        <f>AB237-AQ237</f>
        <v>10975000</v>
      </c>
      <c r="AT237" s="49">
        <v>3091500</v>
      </c>
      <c r="AU237" s="49">
        <f>AT237+U237</f>
        <v>3091500</v>
      </c>
      <c r="AV237" s="49">
        <f>AK237</f>
        <v>101825000</v>
      </c>
      <c r="AW237" s="72">
        <f>AV237/AU237*100</f>
        <v>3293.7085557172891</v>
      </c>
      <c r="AX237" s="49">
        <f>AU237-AV237</f>
        <v>-98733500</v>
      </c>
      <c r="AY237" s="49">
        <f>AS237/AB237*100</f>
        <v>9.1458333333333339</v>
      </c>
      <c r="AZ237" s="73">
        <f t="shared" si="79"/>
        <v>101825000</v>
      </c>
      <c r="BA237" s="73"/>
    </row>
    <row r="238" spans="1:53" ht="20.100000000000001" hidden="1" customHeight="1">
      <c r="A238" s="68"/>
      <c r="B238" s="69"/>
      <c r="C238" s="240" t="s">
        <v>424</v>
      </c>
      <c r="D238" s="240"/>
      <c r="E238" s="241"/>
      <c r="F238" s="70"/>
      <c r="G238" s="71"/>
      <c r="H238" s="71"/>
      <c r="I238" s="240" t="s">
        <v>151</v>
      </c>
      <c r="J238" s="240"/>
      <c r="K238" s="241"/>
      <c r="L238" s="49"/>
      <c r="M238" s="49"/>
      <c r="N238" s="49"/>
      <c r="O238" s="49"/>
      <c r="P238" s="49"/>
      <c r="Q238" s="49"/>
      <c r="R238" s="72"/>
      <c r="S238" s="49"/>
      <c r="T238" s="49"/>
      <c r="U238" s="49"/>
      <c r="V238" s="49"/>
      <c r="W238" s="49"/>
      <c r="X238" s="49"/>
      <c r="Y238" s="49"/>
      <c r="Z238" s="49"/>
      <c r="AA238" s="49"/>
      <c r="AB238" s="49"/>
      <c r="AC238" s="49">
        <f t="shared" si="73"/>
        <v>0</v>
      </c>
      <c r="AD238" s="49"/>
      <c r="AE238" s="49"/>
      <c r="AF238" s="49"/>
      <c r="AG238" s="49"/>
      <c r="AH238" s="49"/>
      <c r="AI238" s="49"/>
      <c r="AJ238" s="49"/>
      <c r="AK238" s="49"/>
      <c r="AL238" s="49"/>
      <c r="AM238" s="49"/>
      <c r="AN238" s="49"/>
      <c r="AO238" s="49"/>
      <c r="AP238" s="49"/>
      <c r="AQ238" s="49"/>
      <c r="AR238" s="49"/>
      <c r="AS238" s="49"/>
      <c r="AT238" s="49"/>
      <c r="AU238" s="49"/>
      <c r="AV238" s="49"/>
      <c r="AW238" s="49"/>
      <c r="AX238" s="49"/>
      <c r="AY238" s="49"/>
      <c r="AZ238" s="73">
        <f t="shared" si="79"/>
        <v>0</v>
      </c>
      <c r="BA238" s="73"/>
    </row>
    <row r="239" spans="1:53" ht="20.100000000000001" hidden="1" customHeight="1">
      <c r="A239" s="68"/>
      <c r="B239" s="69"/>
      <c r="C239" s="240" t="s">
        <v>425</v>
      </c>
      <c r="D239" s="240"/>
      <c r="E239" s="241"/>
      <c r="F239" s="70"/>
      <c r="G239" s="71"/>
      <c r="H239" s="71"/>
      <c r="I239" s="71"/>
      <c r="J239" s="240" t="s">
        <v>153</v>
      </c>
      <c r="K239" s="241"/>
      <c r="L239" s="49">
        <v>2000000</v>
      </c>
      <c r="M239" s="49">
        <v>0</v>
      </c>
      <c r="N239" s="49"/>
      <c r="O239" s="49"/>
      <c r="P239" s="49"/>
      <c r="Q239" s="49">
        <f>SUM(N239:P239)</f>
        <v>0</v>
      </c>
      <c r="R239" s="72"/>
      <c r="S239" s="49">
        <f>M239-Q239</f>
        <v>0</v>
      </c>
      <c r="T239" s="49">
        <v>0</v>
      </c>
      <c r="U239" s="49">
        <f>T239+M239</f>
        <v>0</v>
      </c>
      <c r="V239" s="49">
        <f>T239+S239</f>
        <v>0</v>
      </c>
      <c r="W239" s="49"/>
      <c r="X239" s="49"/>
      <c r="Y239" s="49"/>
      <c r="Z239" s="49"/>
      <c r="AA239" s="49">
        <v>2000000</v>
      </c>
      <c r="AB239" s="49">
        <v>2000000</v>
      </c>
      <c r="AC239" s="49">
        <f t="shared" si="73"/>
        <v>0</v>
      </c>
      <c r="AD239" s="49">
        <f t="shared" ref="AD239:AD247" si="80">AA239+T239+M239</f>
        <v>2000000</v>
      </c>
      <c r="AE239" s="49"/>
      <c r="AF239" s="49"/>
      <c r="AG239" s="49"/>
      <c r="AH239" s="49">
        <v>1080000</v>
      </c>
      <c r="AI239" s="49"/>
      <c r="AJ239" s="49"/>
      <c r="AK239" s="49">
        <f>Z239+Y239+X239+W239+N239+AG239+AJ239+AI239+AH239</f>
        <v>1080000</v>
      </c>
      <c r="AL239" s="49">
        <f>AK239/AD239*100</f>
        <v>54</v>
      </c>
      <c r="AM239" s="49"/>
      <c r="AN239" s="49"/>
      <c r="AO239" s="42">
        <v>120000</v>
      </c>
      <c r="AP239" s="49"/>
      <c r="AQ239" s="49">
        <f>AK239+AM239+AN239+AO239+AP239</f>
        <v>1200000</v>
      </c>
      <c r="AR239" s="49">
        <f>AQ239/AB239*100</f>
        <v>60</v>
      </c>
      <c r="AS239" s="49">
        <f>AB239-AQ239</f>
        <v>800000</v>
      </c>
      <c r="AT239" s="49">
        <v>3091500</v>
      </c>
      <c r="AU239" s="49">
        <f>AT239+U239</f>
        <v>3091500</v>
      </c>
      <c r="AV239" s="49">
        <f>AK239</f>
        <v>1080000</v>
      </c>
      <c r="AW239" s="72">
        <f>AV239/AU239*100</f>
        <v>34.934497816593883</v>
      </c>
      <c r="AX239" s="49">
        <f>AU239-AV239</f>
        <v>2011500</v>
      </c>
      <c r="AY239" s="49">
        <f>AS239/AB239*100</f>
        <v>40</v>
      </c>
      <c r="AZ239" s="73">
        <f t="shared" si="79"/>
        <v>1080000</v>
      </c>
      <c r="BA239" s="73"/>
    </row>
    <row r="240" spans="1:53" ht="20.100000000000001" hidden="1" customHeight="1">
      <c r="A240" s="68"/>
      <c r="B240" s="69"/>
      <c r="C240" s="240" t="s">
        <v>426</v>
      </c>
      <c r="D240" s="240"/>
      <c r="E240" s="241"/>
      <c r="F240" s="70"/>
      <c r="G240" s="71"/>
      <c r="H240" s="71"/>
      <c r="I240" s="71"/>
      <c r="J240" s="240" t="s">
        <v>155</v>
      </c>
      <c r="K240" s="241"/>
      <c r="L240" s="49">
        <v>9245250</v>
      </c>
      <c r="M240" s="49">
        <v>0</v>
      </c>
      <c r="N240" s="49"/>
      <c r="O240" s="49"/>
      <c r="P240" s="49"/>
      <c r="Q240" s="49">
        <f>SUM(N240:P240)</f>
        <v>0</v>
      </c>
      <c r="R240" s="72"/>
      <c r="S240" s="49">
        <f>M240-Q240</f>
        <v>0</v>
      </c>
      <c r="T240" s="49">
        <v>0</v>
      </c>
      <c r="U240" s="49">
        <f>T240+M240</f>
        <v>0</v>
      </c>
      <c r="V240" s="49">
        <f>T240+S240</f>
        <v>0</v>
      </c>
      <c r="W240" s="49"/>
      <c r="X240" s="49"/>
      <c r="Y240" s="49"/>
      <c r="Z240" s="49"/>
      <c r="AA240" s="49">
        <v>9245250</v>
      </c>
      <c r="AB240" s="49">
        <v>9245250</v>
      </c>
      <c r="AC240" s="49">
        <f t="shared" si="73"/>
        <v>0</v>
      </c>
      <c r="AD240" s="49">
        <f t="shared" si="80"/>
        <v>9245250</v>
      </c>
      <c r="AE240" s="49"/>
      <c r="AF240" s="49"/>
      <c r="AG240" s="49"/>
      <c r="AH240" s="49">
        <v>8575000</v>
      </c>
      <c r="AI240" s="49"/>
      <c r="AJ240" s="49"/>
      <c r="AK240" s="49">
        <f>Z240+Y240+X240+W240+N240+AG240+AJ240+AI240+AH240</f>
        <v>8575000</v>
      </c>
      <c r="AL240" s="49">
        <f>AK240/AD240*100</f>
        <v>92.750331251183042</v>
      </c>
      <c r="AM240" s="49"/>
      <c r="AN240" s="49"/>
      <c r="AO240" s="42">
        <v>670250</v>
      </c>
      <c r="AP240" s="49"/>
      <c r="AQ240" s="49">
        <f>AK240+AM240+AN240+AO240+AP240</f>
        <v>9245250</v>
      </c>
      <c r="AR240" s="49">
        <f>AQ240/AB240*100</f>
        <v>100</v>
      </c>
      <c r="AS240" s="49">
        <f>AB240-AQ240</f>
        <v>0</v>
      </c>
      <c r="AT240" s="49">
        <v>3091500</v>
      </c>
      <c r="AU240" s="49">
        <f>AT240+U240</f>
        <v>3091500</v>
      </c>
      <c r="AV240" s="49">
        <f>AK240</f>
        <v>8575000</v>
      </c>
      <c r="AW240" s="72">
        <f>AV240/AU240*100</f>
        <v>277.37344331230793</v>
      </c>
      <c r="AX240" s="49">
        <f>AU240-AV240</f>
        <v>-5483500</v>
      </c>
      <c r="AY240" s="49">
        <f>AS240/AB240*100</f>
        <v>0</v>
      </c>
      <c r="AZ240" s="73">
        <f t="shared" si="79"/>
        <v>8575000</v>
      </c>
      <c r="BA240" s="73"/>
    </row>
    <row r="241" spans="1:53" ht="20.100000000000001" hidden="1" customHeight="1">
      <c r="A241" s="68"/>
      <c r="B241" s="69"/>
      <c r="C241" s="240" t="s">
        <v>427</v>
      </c>
      <c r="D241" s="240"/>
      <c r="E241" s="241"/>
      <c r="F241" s="70"/>
      <c r="G241" s="71"/>
      <c r="H241" s="71"/>
      <c r="I241" s="240" t="s">
        <v>193</v>
      </c>
      <c r="J241" s="240"/>
      <c r="K241" s="241"/>
      <c r="L241" s="49"/>
      <c r="M241" s="49"/>
      <c r="N241" s="49"/>
      <c r="O241" s="49"/>
      <c r="P241" s="49"/>
      <c r="Q241" s="49"/>
      <c r="R241" s="72"/>
      <c r="S241" s="49"/>
      <c r="T241" s="49"/>
      <c r="U241" s="49"/>
      <c r="V241" s="49"/>
      <c r="W241" s="49"/>
      <c r="X241" s="49"/>
      <c r="Y241" s="49"/>
      <c r="Z241" s="49"/>
      <c r="AA241" s="49"/>
      <c r="AB241" s="49"/>
      <c r="AC241" s="49">
        <f t="shared" ref="AC241:AC304" si="81">AB241-L241</f>
        <v>0</v>
      </c>
      <c r="AD241" s="49"/>
      <c r="AE241" s="49"/>
      <c r="AF241" s="49"/>
      <c r="AG241" s="49"/>
      <c r="AH241" s="49"/>
      <c r="AI241" s="49"/>
      <c r="AJ241" s="49"/>
      <c r="AK241" s="49"/>
      <c r="AL241" s="49"/>
      <c r="AM241" s="49"/>
      <c r="AN241" s="49"/>
      <c r="AO241" s="49"/>
      <c r="AP241" s="49"/>
      <c r="AQ241" s="49"/>
      <c r="AR241" s="49"/>
      <c r="AS241" s="49"/>
      <c r="AT241" s="49"/>
      <c r="AU241" s="49"/>
      <c r="AV241" s="49"/>
      <c r="AW241" s="49"/>
      <c r="AX241" s="49"/>
      <c r="AY241" s="49"/>
      <c r="AZ241" s="73">
        <f t="shared" si="79"/>
        <v>0</v>
      </c>
      <c r="BA241" s="73"/>
    </row>
    <row r="242" spans="1:53" ht="20.100000000000001" hidden="1" customHeight="1">
      <c r="A242" s="68"/>
      <c r="B242" s="69"/>
      <c r="C242" s="240" t="s">
        <v>428</v>
      </c>
      <c r="D242" s="240"/>
      <c r="E242" s="241"/>
      <c r="F242" s="70"/>
      <c r="G242" s="71"/>
      <c r="H242" s="71"/>
      <c r="I242" s="71"/>
      <c r="J242" s="240" t="s">
        <v>195</v>
      </c>
      <c r="K242" s="241"/>
      <c r="L242" s="49">
        <v>7375000</v>
      </c>
      <c r="M242" s="49">
        <v>0</v>
      </c>
      <c r="N242" s="49"/>
      <c r="O242" s="49"/>
      <c r="P242" s="49"/>
      <c r="Q242" s="49">
        <f>SUM(N242:P242)</f>
        <v>0</v>
      </c>
      <c r="R242" s="72"/>
      <c r="S242" s="49">
        <f>M242-Q242</f>
        <v>0</v>
      </c>
      <c r="T242" s="49">
        <v>0</v>
      </c>
      <c r="U242" s="49">
        <f>T242+M242</f>
        <v>0</v>
      </c>
      <c r="V242" s="49">
        <f>T242+S242</f>
        <v>0</v>
      </c>
      <c r="W242" s="49"/>
      <c r="X242" s="49"/>
      <c r="Y242" s="49"/>
      <c r="Z242" s="49"/>
      <c r="AA242" s="49">
        <v>7375000</v>
      </c>
      <c r="AB242" s="49">
        <v>7375000</v>
      </c>
      <c r="AC242" s="49">
        <f t="shared" si="81"/>
        <v>0</v>
      </c>
      <c r="AD242" s="49">
        <f t="shared" si="80"/>
        <v>7375000</v>
      </c>
      <c r="AE242" s="49"/>
      <c r="AF242" s="49"/>
      <c r="AG242" s="49"/>
      <c r="AH242" s="49">
        <v>6125000</v>
      </c>
      <c r="AI242" s="49"/>
      <c r="AJ242" s="49"/>
      <c r="AK242" s="49">
        <f>Z242+Y242+X242+W242+N242+AG242+AJ242+AI242+AH242</f>
        <v>6125000</v>
      </c>
      <c r="AL242" s="49">
        <f>AK242/AD242*100</f>
        <v>83.050847457627114</v>
      </c>
      <c r="AM242" s="49"/>
      <c r="AN242" s="49"/>
      <c r="AO242" s="42">
        <v>875000</v>
      </c>
      <c r="AP242" s="49"/>
      <c r="AQ242" s="49">
        <f>AK242+AM242+AN242+AO242+AP242</f>
        <v>7000000</v>
      </c>
      <c r="AR242" s="49">
        <f>AQ242/AB242*100</f>
        <v>94.915254237288138</v>
      </c>
      <c r="AS242" s="49">
        <f>AB242-AQ242</f>
        <v>375000</v>
      </c>
      <c r="AT242" s="49">
        <v>3091500</v>
      </c>
      <c r="AU242" s="49">
        <f>AT242+U242</f>
        <v>3091500</v>
      </c>
      <c r="AV242" s="49">
        <f>AK242</f>
        <v>6125000</v>
      </c>
      <c r="AW242" s="72">
        <f>AV242/AU242*100</f>
        <v>198.12388808021996</v>
      </c>
      <c r="AX242" s="49">
        <f>AU242-AV242</f>
        <v>-3033500</v>
      </c>
      <c r="AY242" s="49">
        <f>AS242/AB242*100</f>
        <v>5.0847457627118651</v>
      </c>
      <c r="AZ242" s="73">
        <f t="shared" si="79"/>
        <v>6125000</v>
      </c>
      <c r="BA242" s="73"/>
    </row>
    <row r="243" spans="1:53" ht="20.100000000000001" hidden="1" customHeight="1">
      <c r="A243" s="68"/>
      <c r="B243" s="69"/>
      <c r="C243" s="240" t="s">
        <v>429</v>
      </c>
      <c r="D243" s="240"/>
      <c r="E243" s="241"/>
      <c r="F243" s="70"/>
      <c r="G243" s="71"/>
      <c r="H243" s="71"/>
      <c r="I243" s="240" t="s">
        <v>157</v>
      </c>
      <c r="J243" s="240"/>
      <c r="K243" s="241"/>
      <c r="L243" s="49"/>
      <c r="M243" s="49"/>
      <c r="N243" s="49"/>
      <c r="O243" s="49"/>
      <c r="P243" s="49"/>
      <c r="Q243" s="49"/>
      <c r="R243" s="72"/>
      <c r="S243" s="49"/>
      <c r="T243" s="49"/>
      <c r="U243" s="49"/>
      <c r="V243" s="49"/>
      <c r="W243" s="49"/>
      <c r="X243" s="49"/>
      <c r="Y243" s="49"/>
      <c r="Z243" s="49"/>
      <c r="AA243" s="49"/>
      <c r="AB243" s="49"/>
      <c r="AC243" s="49">
        <f t="shared" si="81"/>
        <v>0</v>
      </c>
      <c r="AD243" s="49"/>
      <c r="AE243" s="49"/>
      <c r="AF243" s="49"/>
      <c r="AG243" s="49"/>
      <c r="AH243" s="49"/>
      <c r="AI243" s="49"/>
      <c r="AJ243" s="49"/>
      <c r="AK243" s="49"/>
      <c r="AL243" s="49"/>
      <c r="AM243" s="49"/>
      <c r="AN243" s="49"/>
      <c r="AO243" s="49"/>
      <c r="AP243" s="49"/>
      <c r="AQ243" s="49"/>
      <c r="AR243" s="49"/>
      <c r="AS243" s="49"/>
      <c r="AT243" s="49"/>
      <c r="AU243" s="49"/>
      <c r="AV243" s="49"/>
      <c r="AW243" s="49"/>
      <c r="AX243" s="49"/>
      <c r="AY243" s="49"/>
      <c r="AZ243" s="73">
        <f t="shared" si="79"/>
        <v>0</v>
      </c>
      <c r="BA243" s="73"/>
    </row>
    <row r="244" spans="1:53" ht="20.100000000000001" hidden="1" customHeight="1">
      <c r="A244" s="68"/>
      <c r="B244" s="69"/>
      <c r="C244" s="240" t="s">
        <v>430</v>
      </c>
      <c r="D244" s="240"/>
      <c r="E244" s="241"/>
      <c r="F244" s="70"/>
      <c r="G244" s="71"/>
      <c r="H244" s="71"/>
      <c r="I244" s="71"/>
      <c r="J244" s="240" t="s">
        <v>159</v>
      </c>
      <c r="K244" s="241"/>
      <c r="L244" s="49">
        <v>28140000</v>
      </c>
      <c r="M244" s="49">
        <v>0</v>
      </c>
      <c r="N244" s="49"/>
      <c r="O244" s="49"/>
      <c r="P244" s="49"/>
      <c r="Q244" s="49">
        <f>SUM(N244:P244)</f>
        <v>0</v>
      </c>
      <c r="R244" s="72"/>
      <c r="S244" s="49">
        <f>M244-Q244</f>
        <v>0</v>
      </c>
      <c r="T244" s="49">
        <v>0</v>
      </c>
      <c r="U244" s="49">
        <f>T244+M244</f>
        <v>0</v>
      </c>
      <c r="V244" s="49">
        <f>T244+S244</f>
        <v>0</v>
      </c>
      <c r="W244" s="49"/>
      <c r="X244" s="49"/>
      <c r="Y244" s="49"/>
      <c r="Z244" s="49"/>
      <c r="AA244" s="49">
        <v>16000000</v>
      </c>
      <c r="AB244" s="49">
        <v>28140000</v>
      </c>
      <c r="AC244" s="49">
        <f t="shared" si="81"/>
        <v>0</v>
      </c>
      <c r="AD244" s="49">
        <f t="shared" si="80"/>
        <v>16000000</v>
      </c>
      <c r="AE244" s="49"/>
      <c r="AF244" s="49"/>
      <c r="AG244" s="49"/>
      <c r="AH244" s="49">
        <v>14800000</v>
      </c>
      <c r="AI244" s="49"/>
      <c r="AJ244" s="49"/>
      <c r="AK244" s="49">
        <f>Z244+Y244+X244+W244+N244+AG244+AJ244+AI244+AH244</f>
        <v>14800000</v>
      </c>
      <c r="AL244" s="49">
        <f>AK244/AD244*100</f>
        <v>92.5</v>
      </c>
      <c r="AM244" s="48"/>
      <c r="AN244" s="49"/>
      <c r="AO244" s="42">
        <v>2860000</v>
      </c>
      <c r="AP244" s="49"/>
      <c r="AQ244" s="49">
        <f>AK244+AM244+AN244+AO244+AP244</f>
        <v>17660000</v>
      </c>
      <c r="AR244" s="49">
        <f>AQ244/AB244*100</f>
        <v>62.75764036958067</v>
      </c>
      <c r="AS244" s="49">
        <f>AB244-AQ244</f>
        <v>10480000</v>
      </c>
      <c r="AT244" s="49">
        <v>3091500</v>
      </c>
      <c r="AU244" s="49">
        <f>AT244+U244</f>
        <v>3091500</v>
      </c>
      <c r="AV244" s="49">
        <f>AK244</f>
        <v>14800000</v>
      </c>
      <c r="AW244" s="72">
        <f>AV244/AU244*100</f>
        <v>478.73200711628658</v>
      </c>
      <c r="AX244" s="49">
        <f>AU244-AV244</f>
        <v>-11708500</v>
      </c>
      <c r="AY244" s="49">
        <f>AS244/AB244*100</f>
        <v>37.24235963041933</v>
      </c>
      <c r="AZ244" s="73">
        <f t="shared" si="79"/>
        <v>14800000</v>
      </c>
      <c r="BA244" s="73"/>
    </row>
    <row r="245" spans="1:53" ht="20.100000000000001" hidden="1" customHeight="1">
      <c r="A245" s="68"/>
      <c r="B245" s="69"/>
      <c r="C245" s="240" t="s">
        <v>431</v>
      </c>
      <c r="D245" s="240"/>
      <c r="E245" s="241"/>
      <c r="F245" s="70"/>
      <c r="G245" s="71"/>
      <c r="H245" s="71"/>
      <c r="I245" s="71"/>
      <c r="J245" s="240" t="s">
        <v>207</v>
      </c>
      <c r="K245" s="241"/>
      <c r="L245" s="49">
        <v>7910000</v>
      </c>
      <c r="M245" s="49">
        <v>0</v>
      </c>
      <c r="N245" s="49"/>
      <c r="O245" s="49"/>
      <c r="P245" s="49"/>
      <c r="Q245" s="49">
        <f>SUM(N245:P245)</f>
        <v>0</v>
      </c>
      <c r="R245" s="72"/>
      <c r="S245" s="49">
        <f>M245-Q245</f>
        <v>0</v>
      </c>
      <c r="T245" s="49">
        <v>0</v>
      </c>
      <c r="U245" s="49">
        <f>T245+M245</f>
        <v>0</v>
      </c>
      <c r="V245" s="49">
        <f>T245+S245</f>
        <v>0</v>
      </c>
      <c r="W245" s="49"/>
      <c r="X245" s="49"/>
      <c r="Y245" s="49"/>
      <c r="Z245" s="49"/>
      <c r="AA245" s="49">
        <v>7910000</v>
      </c>
      <c r="AB245" s="49">
        <v>7910000</v>
      </c>
      <c r="AC245" s="49">
        <f t="shared" si="81"/>
        <v>0</v>
      </c>
      <c r="AD245" s="49">
        <f t="shared" si="80"/>
        <v>7910000</v>
      </c>
      <c r="AE245" s="49"/>
      <c r="AF245" s="49"/>
      <c r="AG245" s="49"/>
      <c r="AH245" s="49">
        <v>7700000</v>
      </c>
      <c r="AI245" s="49"/>
      <c r="AJ245" s="49"/>
      <c r="AK245" s="49">
        <f>Z245+Y245+X245+W245+N245+AG245+AJ245+AI245+AH245</f>
        <v>7700000</v>
      </c>
      <c r="AL245" s="49">
        <f>AK245/AD245*100</f>
        <v>97.345132743362825</v>
      </c>
      <c r="AM245" s="49"/>
      <c r="AN245" s="49"/>
      <c r="AO245" s="49"/>
      <c r="AP245" s="49"/>
      <c r="AQ245" s="49">
        <f>AK245+AM245+AN245+AO245+AP245</f>
        <v>7700000</v>
      </c>
      <c r="AR245" s="49">
        <f>AQ245/AB245*100</f>
        <v>97.345132743362825</v>
      </c>
      <c r="AS245" s="49">
        <f>AB245-AQ245</f>
        <v>210000</v>
      </c>
      <c r="AT245" s="49">
        <v>3091500</v>
      </c>
      <c r="AU245" s="49">
        <f>AT245+U245</f>
        <v>3091500</v>
      </c>
      <c r="AV245" s="49">
        <f>AK245</f>
        <v>7700000</v>
      </c>
      <c r="AW245" s="72">
        <f>AV245/AU245*100</f>
        <v>249.07003072941936</v>
      </c>
      <c r="AX245" s="49">
        <f>AU245-AV245</f>
        <v>-4608500</v>
      </c>
      <c r="AY245" s="49">
        <f>AS245/AB245*100</f>
        <v>2.6548672566371683</v>
      </c>
      <c r="AZ245" s="73">
        <f t="shared" si="79"/>
        <v>7700000</v>
      </c>
      <c r="BA245" s="73"/>
    </row>
    <row r="246" spans="1:53" ht="20.100000000000001" hidden="1" customHeight="1">
      <c r="A246" s="68"/>
      <c r="B246" s="69"/>
      <c r="C246" s="240" t="s">
        <v>432</v>
      </c>
      <c r="D246" s="240"/>
      <c r="E246" s="241"/>
      <c r="F246" s="70"/>
      <c r="G246" s="71"/>
      <c r="H246" s="71"/>
      <c r="I246" s="240" t="s">
        <v>402</v>
      </c>
      <c r="J246" s="240"/>
      <c r="K246" s="241"/>
      <c r="L246" s="49"/>
      <c r="M246" s="49"/>
      <c r="N246" s="49"/>
      <c r="O246" s="49"/>
      <c r="P246" s="49"/>
      <c r="Q246" s="49"/>
      <c r="R246" s="72"/>
      <c r="S246" s="49"/>
      <c r="T246" s="49"/>
      <c r="U246" s="49"/>
      <c r="V246" s="49"/>
      <c r="W246" s="49"/>
      <c r="X246" s="49"/>
      <c r="Y246" s="49"/>
      <c r="Z246" s="49"/>
      <c r="AA246" s="49"/>
      <c r="AB246" s="49"/>
      <c r="AC246" s="49">
        <f t="shared" si="81"/>
        <v>0</v>
      </c>
      <c r="AD246" s="49"/>
      <c r="AE246" s="49"/>
      <c r="AF246" s="49"/>
      <c r="AG246" s="49"/>
      <c r="AH246" s="49"/>
      <c r="AI246" s="49"/>
      <c r="AJ246" s="49"/>
      <c r="AK246" s="49"/>
      <c r="AL246" s="49"/>
      <c r="AM246" s="49"/>
      <c r="AN246" s="49"/>
      <c r="AO246" s="49"/>
      <c r="AP246" s="49"/>
      <c r="AQ246" s="49"/>
      <c r="AR246" s="49"/>
      <c r="AS246" s="49"/>
      <c r="AT246" s="49"/>
      <c r="AU246" s="49"/>
      <c r="AV246" s="49"/>
      <c r="AW246" s="49"/>
      <c r="AX246" s="49"/>
      <c r="AY246" s="49"/>
      <c r="AZ246" s="73">
        <f t="shared" si="79"/>
        <v>0</v>
      </c>
      <c r="BA246" s="73"/>
    </row>
    <row r="247" spans="1:53" ht="20.100000000000001" hidden="1" customHeight="1">
      <c r="A247" s="68"/>
      <c r="B247" s="69"/>
      <c r="C247" s="240" t="s">
        <v>433</v>
      </c>
      <c r="D247" s="240"/>
      <c r="E247" s="241"/>
      <c r="F247" s="70"/>
      <c r="G247" s="71"/>
      <c r="H247" s="71"/>
      <c r="I247" s="71"/>
      <c r="J247" s="240" t="s">
        <v>404</v>
      </c>
      <c r="K247" s="241"/>
      <c r="L247" s="49">
        <v>40000000</v>
      </c>
      <c r="M247" s="49">
        <v>0</v>
      </c>
      <c r="N247" s="49"/>
      <c r="O247" s="49"/>
      <c r="P247" s="49"/>
      <c r="Q247" s="49">
        <f>SUM(N247:P247)</f>
        <v>0</v>
      </c>
      <c r="R247" s="72"/>
      <c r="S247" s="49">
        <f>M247-Q247</f>
        <v>0</v>
      </c>
      <c r="T247" s="49">
        <v>0</v>
      </c>
      <c r="U247" s="49">
        <f>T247+M247</f>
        <v>0</v>
      </c>
      <c r="V247" s="49">
        <f>T247+S247</f>
        <v>0</v>
      </c>
      <c r="W247" s="49"/>
      <c r="X247" s="49"/>
      <c r="Y247" s="49"/>
      <c r="Z247" s="49"/>
      <c r="AA247" s="49">
        <v>40000000</v>
      </c>
      <c r="AB247" s="49">
        <v>40000000</v>
      </c>
      <c r="AC247" s="49">
        <f t="shared" si="81"/>
        <v>0</v>
      </c>
      <c r="AD247" s="49">
        <f t="shared" si="80"/>
        <v>40000000</v>
      </c>
      <c r="AE247" s="49"/>
      <c r="AF247" s="49"/>
      <c r="AG247" s="49"/>
      <c r="AH247" s="49">
        <v>35200000</v>
      </c>
      <c r="AI247" s="49"/>
      <c r="AJ247" s="49"/>
      <c r="AK247" s="49">
        <f>Z247+Y247+X247+W247+N247+AG247+AJ247+AI247+AH247</f>
        <v>35200000</v>
      </c>
      <c r="AL247" s="49">
        <f>AK247/AD247*100</f>
        <v>88</v>
      </c>
      <c r="AM247" s="49"/>
      <c r="AN247" s="49"/>
      <c r="AO247" s="42">
        <v>4800000</v>
      </c>
      <c r="AP247" s="49"/>
      <c r="AQ247" s="49">
        <f>AK247+AM247+AN247+AO247+AP247</f>
        <v>40000000</v>
      </c>
      <c r="AR247" s="49">
        <f>AQ247/AB247*100</f>
        <v>100</v>
      </c>
      <c r="AS247" s="49">
        <f>AB247-AQ247</f>
        <v>0</v>
      </c>
      <c r="AT247" s="49">
        <v>3091500</v>
      </c>
      <c r="AU247" s="49">
        <f>AT247+U247</f>
        <v>3091500</v>
      </c>
      <c r="AV247" s="49">
        <f>AK247</f>
        <v>35200000</v>
      </c>
      <c r="AW247" s="72">
        <f>AV247/AU247*100</f>
        <v>1138.6058547630601</v>
      </c>
      <c r="AX247" s="49">
        <f>AU247-AV247</f>
        <v>-32108500</v>
      </c>
      <c r="AY247" s="49">
        <f>AS247/AB247*100</f>
        <v>0</v>
      </c>
      <c r="AZ247" s="73">
        <f t="shared" si="79"/>
        <v>35200000</v>
      </c>
      <c r="BA247" s="73"/>
    </row>
    <row r="248" spans="1:53" ht="20.100000000000001" customHeight="1">
      <c r="A248" s="62">
        <v>19</v>
      </c>
      <c r="B248" s="63"/>
      <c r="C248" s="242" t="s">
        <v>434</v>
      </c>
      <c r="D248" s="242"/>
      <c r="E248" s="243"/>
      <c r="F248" s="64"/>
      <c r="G248" s="244" t="s">
        <v>435</v>
      </c>
      <c r="H248" s="244"/>
      <c r="I248" s="244"/>
      <c r="J248" s="244"/>
      <c r="K248" s="245"/>
      <c r="L248" s="65">
        <f>SUM(L251:L269)</f>
        <v>150000000</v>
      </c>
      <c r="M248" s="65">
        <f>SUM(M251:M269)</f>
        <v>0</v>
      </c>
      <c r="N248" s="65">
        <f>SUM(N251:N269)</f>
        <v>0</v>
      </c>
      <c r="O248" s="65">
        <f>SUM(O251:O269)</f>
        <v>0</v>
      </c>
      <c r="P248" s="65">
        <f>SUM(P251:P269)</f>
        <v>0</v>
      </c>
      <c r="Q248" s="65">
        <f>SUM(N248:P248)</f>
        <v>0</v>
      </c>
      <c r="R248" s="66"/>
      <c r="S248" s="65">
        <f>M248-Q248</f>
        <v>0</v>
      </c>
      <c r="T248" s="65">
        <f>SUM(T251:T269)</f>
        <v>0</v>
      </c>
      <c r="U248" s="65">
        <f>T248+M248</f>
        <v>0</v>
      </c>
      <c r="V248" s="65">
        <f>T248+S248</f>
        <v>0</v>
      </c>
      <c r="W248" s="65">
        <f>SUM(W251:W269)</f>
        <v>0</v>
      </c>
      <c r="X248" s="65">
        <f>SUM(X251:X269)</f>
        <v>0</v>
      </c>
      <c r="Y248" s="65">
        <f>SUM(Y251:Y269)</f>
        <v>0</v>
      </c>
      <c r="Z248" s="65"/>
      <c r="AA248" s="65">
        <f>SUM(AA251:AA269)</f>
        <v>150000000</v>
      </c>
      <c r="AB248" s="65">
        <f>SUM(AB251:AB269)</f>
        <v>150000000</v>
      </c>
      <c r="AC248" s="65">
        <f t="shared" si="81"/>
        <v>0</v>
      </c>
      <c r="AD248" s="65">
        <f>AA248+T248+M248</f>
        <v>150000000</v>
      </c>
      <c r="AE248" s="65">
        <f t="shared" ref="AE248:AK248" si="82">SUM(AE251:AE269)</f>
        <v>0</v>
      </c>
      <c r="AF248" s="65">
        <f t="shared" si="82"/>
        <v>0</v>
      </c>
      <c r="AG248" s="65">
        <f t="shared" si="82"/>
        <v>0</v>
      </c>
      <c r="AH248" s="65">
        <f t="shared" si="82"/>
        <v>87266175</v>
      </c>
      <c r="AI248" s="65">
        <f t="shared" si="82"/>
        <v>0</v>
      </c>
      <c r="AJ248" s="65">
        <f t="shared" si="82"/>
        <v>0</v>
      </c>
      <c r="AK248" s="65">
        <f t="shared" si="82"/>
        <v>87266175</v>
      </c>
      <c r="AL248" s="65">
        <f>AK248/AB248*100</f>
        <v>58.17745</v>
      </c>
      <c r="AM248" s="65">
        <f>SUM(AM251:AM269)</f>
        <v>0</v>
      </c>
      <c r="AN248" s="65">
        <f>SUM(AN251:AN269)</f>
        <v>0</v>
      </c>
      <c r="AO248" s="65">
        <f>SUM(AO251:AO269)</f>
        <v>0</v>
      </c>
      <c r="AP248" s="65">
        <f>SUM(AP251:AP269)</f>
        <v>0</v>
      </c>
      <c r="AQ248" s="65">
        <f>AK248+AM248+AN248+AO248+AP248</f>
        <v>87266175</v>
      </c>
      <c r="AR248" s="65">
        <f>AQ248/AB248*100</f>
        <v>58.17745</v>
      </c>
      <c r="AS248" s="65">
        <f>AB248-AQ248</f>
        <v>62733825</v>
      </c>
      <c r="AT248" s="65">
        <f>SUM(AT251:AT257)</f>
        <v>12366000</v>
      </c>
      <c r="AU248" s="65">
        <f>AT248+U248</f>
        <v>12366000</v>
      </c>
      <c r="AV248" s="65">
        <f>AK248</f>
        <v>87266175</v>
      </c>
      <c r="AW248" s="66">
        <f>AV248/AU248*100</f>
        <v>705.69444444444446</v>
      </c>
      <c r="AX248" s="65">
        <f>AU248-AV248</f>
        <v>-74900175</v>
      </c>
      <c r="AY248" s="65">
        <f>AS248/AB248*100</f>
        <v>41.82255</v>
      </c>
      <c r="AZ248" s="67">
        <f t="shared" si="79"/>
        <v>87266175</v>
      </c>
      <c r="BA248" s="29">
        <f>AS248</f>
        <v>62733825</v>
      </c>
    </row>
    <row r="249" spans="1:53" ht="20.100000000000001" hidden="1" customHeight="1">
      <c r="A249" s="68"/>
      <c r="B249" s="69"/>
      <c r="C249" s="240" t="s">
        <v>436</v>
      </c>
      <c r="D249" s="240"/>
      <c r="E249" s="241"/>
      <c r="F249" s="70"/>
      <c r="G249" s="71"/>
      <c r="H249" s="240" t="s">
        <v>10</v>
      </c>
      <c r="I249" s="240"/>
      <c r="J249" s="240"/>
      <c r="K249" s="241"/>
      <c r="L249" s="49"/>
      <c r="M249" s="49"/>
      <c r="N249" s="49"/>
      <c r="O249" s="49"/>
      <c r="P249" s="49"/>
      <c r="Q249" s="49"/>
      <c r="R249" s="72"/>
      <c r="S249" s="49"/>
      <c r="T249" s="49"/>
      <c r="U249" s="49"/>
      <c r="V249" s="49"/>
      <c r="W249" s="49"/>
      <c r="X249" s="49"/>
      <c r="Y249" s="49"/>
      <c r="Z249" s="49"/>
      <c r="AA249" s="49"/>
      <c r="AB249" s="49"/>
      <c r="AC249" s="49">
        <f t="shared" si="81"/>
        <v>0</v>
      </c>
      <c r="AD249" s="49"/>
      <c r="AE249" s="49"/>
      <c r="AF249" s="49"/>
      <c r="AG249" s="49"/>
      <c r="AH249" s="49"/>
      <c r="AI249" s="49"/>
      <c r="AJ249" s="49"/>
      <c r="AK249" s="49"/>
      <c r="AL249" s="49"/>
      <c r="AM249" s="49"/>
      <c r="AN249" s="49"/>
      <c r="AO249" s="49"/>
      <c r="AP249" s="49"/>
      <c r="AQ249" s="49"/>
      <c r="AR249" s="49"/>
      <c r="AS249" s="49"/>
      <c r="AT249" s="49"/>
      <c r="AU249" s="49"/>
      <c r="AV249" s="49"/>
      <c r="AW249" s="49"/>
      <c r="AX249" s="49"/>
      <c r="AY249" s="49"/>
      <c r="AZ249" s="73">
        <f t="shared" si="79"/>
        <v>0</v>
      </c>
      <c r="BA249" s="73"/>
    </row>
    <row r="250" spans="1:53" ht="20.100000000000001" hidden="1" customHeight="1">
      <c r="A250" s="68"/>
      <c r="B250" s="69"/>
      <c r="C250" s="240" t="s">
        <v>437</v>
      </c>
      <c r="D250" s="240"/>
      <c r="E250" s="241"/>
      <c r="F250" s="70"/>
      <c r="G250" s="71"/>
      <c r="H250" s="71"/>
      <c r="I250" s="240" t="s">
        <v>177</v>
      </c>
      <c r="J250" s="240"/>
      <c r="K250" s="241"/>
      <c r="L250" s="49"/>
      <c r="M250" s="49"/>
      <c r="N250" s="49"/>
      <c r="O250" s="49"/>
      <c r="P250" s="49"/>
      <c r="Q250" s="49"/>
      <c r="R250" s="72"/>
      <c r="S250" s="49"/>
      <c r="T250" s="49"/>
      <c r="U250" s="49"/>
      <c r="V250" s="49"/>
      <c r="W250" s="49"/>
      <c r="X250" s="49"/>
      <c r="Y250" s="49"/>
      <c r="Z250" s="49"/>
      <c r="AA250" s="49"/>
      <c r="AB250" s="49"/>
      <c r="AC250" s="49">
        <f t="shared" si="81"/>
        <v>0</v>
      </c>
      <c r="AD250" s="49"/>
      <c r="AE250" s="49"/>
      <c r="AF250" s="49"/>
      <c r="AG250" s="49"/>
      <c r="AH250" s="49"/>
      <c r="AI250" s="49"/>
      <c r="AJ250" s="49"/>
      <c r="AK250" s="49"/>
      <c r="AL250" s="49"/>
      <c r="AM250" s="49"/>
      <c r="AN250" s="49"/>
      <c r="AO250" s="49"/>
      <c r="AP250" s="49"/>
      <c r="AQ250" s="49"/>
      <c r="AR250" s="49"/>
      <c r="AS250" s="49"/>
      <c r="AT250" s="49"/>
      <c r="AU250" s="49"/>
      <c r="AV250" s="49"/>
      <c r="AW250" s="49"/>
      <c r="AX250" s="49"/>
      <c r="AY250" s="49"/>
      <c r="AZ250" s="73">
        <f t="shared" si="79"/>
        <v>0</v>
      </c>
      <c r="BA250" s="73"/>
    </row>
    <row r="251" spans="1:53" ht="20.100000000000001" hidden="1" customHeight="1">
      <c r="A251" s="68"/>
      <c r="B251" s="69"/>
      <c r="C251" s="240" t="s">
        <v>438</v>
      </c>
      <c r="D251" s="240"/>
      <c r="E251" s="241"/>
      <c r="F251" s="70"/>
      <c r="G251" s="71"/>
      <c r="H251" s="71"/>
      <c r="I251" s="71"/>
      <c r="J251" s="240" t="s">
        <v>283</v>
      </c>
      <c r="K251" s="241"/>
      <c r="L251" s="49">
        <v>3680000</v>
      </c>
      <c r="M251" s="49">
        <v>0</v>
      </c>
      <c r="N251" s="49"/>
      <c r="O251" s="49"/>
      <c r="P251" s="49"/>
      <c r="Q251" s="49">
        <f>SUM(N251:P251)</f>
        <v>0</v>
      </c>
      <c r="R251" s="72"/>
      <c r="S251" s="49">
        <f>M251-Q251</f>
        <v>0</v>
      </c>
      <c r="T251" s="49">
        <v>0</v>
      </c>
      <c r="U251" s="49">
        <f>T251+M251</f>
        <v>0</v>
      </c>
      <c r="V251" s="49">
        <f>T251+S251</f>
        <v>0</v>
      </c>
      <c r="W251" s="49"/>
      <c r="X251" s="49"/>
      <c r="Y251" s="49"/>
      <c r="Z251" s="49"/>
      <c r="AA251" s="49">
        <v>3680000</v>
      </c>
      <c r="AB251" s="49">
        <v>3680000</v>
      </c>
      <c r="AC251" s="49">
        <f t="shared" si="81"/>
        <v>0</v>
      </c>
      <c r="AD251" s="49">
        <f>AA251+T251+M251</f>
        <v>3680000</v>
      </c>
      <c r="AE251" s="49"/>
      <c r="AF251" s="49"/>
      <c r="AG251" s="49"/>
      <c r="AH251" s="49">
        <v>3680000</v>
      </c>
      <c r="AI251" s="49"/>
      <c r="AJ251" s="49"/>
      <c r="AK251" s="49">
        <f>Z251+Y251+X251+W251+N251+AG251+AJ251+AI251+AH251</f>
        <v>3680000</v>
      </c>
      <c r="AL251" s="49">
        <f>AK251/AD251*100</f>
        <v>100</v>
      </c>
      <c r="AM251" s="49"/>
      <c r="AN251" s="49"/>
      <c r="AO251" s="49"/>
      <c r="AP251" s="49"/>
      <c r="AQ251" s="49">
        <f>AK251+AM251+AN251+AO251+AP251</f>
        <v>3680000</v>
      </c>
      <c r="AR251" s="49">
        <f>AQ251/AB251*100</f>
        <v>100</v>
      </c>
      <c r="AS251" s="49">
        <f>AB251-AQ251</f>
        <v>0</v>
      </c>
      <c r="AT251" s="49">
        <v>3091500</v>
      </c>
      <c r="AU251" s="49">
        <f>AT251+U251</f>
        <v>3091500</v>
      </c>
      <c r="AV251" s="49">
        <f>AK251</f>
        <v>3680000</v>
      </c>
      <c r="AW251" s="72">
        <f>AV251/AU251*100</f>
        <v>119.03606663431991</v>
      </c>
      <c r="AX251" s="49">
        <f>AU251-AV251</f>
        <v>-588500</v>
      </c>
      <c r="AY251" s="49">
        <f>AS251/AB251*100</f>
        <v>0</v>
      </c>
      <c r="AZ251" s="73">
        <f t="shared" si="79"/>
        <v>3680000</v>
      </c>
      <c r="BA251" s="73"/>
    </row>
    <row r="252" spans="1:53" ht="20.100000000000001" hidden="1" customHeight="1">
      <c r="A252" s="68"/>
      <c r="B252" s="69"/>
      <c r="C252" s="240" t="s">
        <v>439</v>
      </c>
      <c r="D252" s="240"/>
      <c r="E252" s="241"/>
      <c r="F252" s="70"/>
      <c r="G252" s="71"/>
      <c r="H252" s="71"/>
      <c r="I252" s="71"/>
      <c r="J252" s="240" t="s">
        <v>384</v>
      </c>
      <c r="K252" s="241"/>
      <c r="L252" s="49">
        <v>670000</v>
      </c>
      <c r="M252" s="49">
        <v>0</v>
      </c>
      <c r="N252" s="49"/>
      <c r="O252" s="49"/>
      <c r="P252" s="49"/>
      <c r="Q252" s="49">
        <f>SUM(N252:P252)</f>
        <v>0</v>
      </c>
      <c r="R252" s="72"/>
      <c r="S252" s="49">
        <f>M252-Q252</f>
        <v>0</v>
      </c>
      <c r="T252" s="49">
        <v>0</v>
      </c>
      <c r="U252" s="49">
        <f>T252+M252</f>
        <v>0</v>
      </c>
      <c r="V252" s="49">
        <f>T252+S252</f>
        <v>0</v>
      </c>
      <c r="W252" s="49"/>
      <c r="X252" s="49"/>
      <c r="Y252" s="49"/>
      <c r="Z252" s="49"/>
      <c r="AA252" s="49">
        <v>670000</v>
      </c>
      <c r="AB252" s="49">
        <v>670000</v>
      </c>
      <c r="AC252" s="49">
        <f t="shared" si="81"/>
        <v>0</v>
      </c>
      <c r="AD252" s="49">
        <f>AA252+T252+M252</f>
        <v>670000</v>
      </c>
      <c r="AE252" s="49"/>
      <c r="AF252" s="49"/>
      <c r="AG252" s="49"/>
      <c r="AH252" s="49">
        <v>670000</v>
      </c>
      <c r="AI252" s="49"/>
      <c r="AJ252" s="49"/>
      <c r="AK252" s="49">
        <f>Z252+Y252+X252+W252+N252+AG252+AJ252+AI252+AH252</f>
        <v>670000</v>
      </c>
      <c r="AL252" s="49">
        <f>AK252/AD252*100</f>
        <v>100</v>
      </c>
      <c r="AM252" s="49"/>
      <c r="AN252" s="49"/>
      <c r="AO252" s="49"/>
      <c r="AP252" s="49"/>
      <c r="AQ252" s="49">
        <f>AK252+AM252+AN252+AO252+AP252</f>
        <v>670000</v>
      </c>
      <c r="AR252" s="49">
        <f>AQ252/AB252*100</f>
        <v>100</v>
      </c>
      <c r="AS252" s="49">
        <f>AB252-AQ252</f>
        <v>0</v>
      </c>
      <c r="AT252" s="49">
        <v>3091500</v>
      </c>
      <c r="AU252" s="49">
        <f>AT252+U252</f>
        <v>3091500</v>
      </c>
      <c r="AV252" s="49">
        <f>AK252</f>
        <v>670000</v>
      </c>
      <c r="AW252" s="72">
        <f>AV252/AU252*100</f>
        <v>21.672327349183242</v>
      </c>
      <c r="AX252" s="49">
        <f>AU252-AV252</f>
        <v>2421500</v>
      </c>
      <c r="AY252" s="49">
        <f>AS252/AB252*100</f>
        <v>0</v>
      </c>
      <c r="AZ252" s="73">
        <f t="shared" si="79"/>
        <v>670000</v>
      </c>
      <c r="BA252" s="73"/>
    </row>
    <row r="253" spans="1:53" ht="20.100000000000001" hidden="1" customHeight="1">
      <c r="A253" s="68"/>
      <c r="B253" s="69"/>
      <c r="C253" s="240" t="s">
        <v>440</v>
      </c>
      <c r="D253" s="240"/>
      <c r="E253" s="241"/>
      <c r="F253" s="70"/>
      <c r="G253" s="71"/>
      <c r="H253" s="240" t="s">
        <v>143</v>
      </c>
      <c r="I253" s="240"/>
      <c r="J253" s="240"/>
      <c r="K253" s="241"/>
      <c r="L253" s="49"/>
      <c r="M253" s="49"/>
      <c r="N253" s="49"/>
      <c r="O253" s="49"/>
      <c r="P253" s="49"/>
      <c r="Q253" s="49"/>
      <c r="R253" s="72"/>
      <c r="S253" s="49"/>
      <c r="T253" s="49"/>
      <c r="U253" s="49"/>
      <c r="V253" s="49"/>
      <c r="W253" s="49"/>
      <c r="X253" s="49"/>
      <c r="Y253" s="49"/>
      <c r="Z253" s="49"/>
      <c r="AA253" s="49"/>
      <c r="AB253" s="49"/>
      <c r="AC253" s="49">
        <f t="shared" si="81"/>
        <v>0</v>
      </c>
      <c r="AD253" s="49"/>
      <c r="AE253" s="49"/>
      <c r="AF253" s="49"/>
      <c r="AG253" s="49"/>
      <c r="AH253" s="49"/>
      <c r="AI253" s="49"/>
      <c r="AJ253" s="49"/>
      <c r="AK253" s="49"/>
      <c r="AL253" s="49"/>
      <c r="AM253" s="49"/>
      <c r="AN253" s="49"/>
      <c r="AO253" s="49"/>
      <c r="AP253" s="49"/>
      <c r="AQ253" s="49"/>
      <c r="AR253" s="49"/>
      <c r="AS253" s="49"/>
      <c r="AT253" s="49"/>
      <c r="AU253" s="49"/>
      <c r="AV253" s="49"/>
      <c r="AW253" s="49"/>
      <c r="AX253" s="49"/>
      <c r="AY253" s="49"/>
      <c r="AZ253" s="73">
        <f t="shared" si="79"/>
        <v>0</v>
      </c>
      <c r="BA253" s="73"/>
    </row>
    <row r="254" spans="1:53" ht="20.100000000000001" hidden="1" customHeight="1">
      <c r="A254" s="68"/>
      <c r="B254" s="69"/>
      <c r="C254" s="240" t="s">
        <v>441</v>
      </c>
      <c r="D254" s="240"/>
      <c r="E254" s="241"/>
      <c r="F254" s="70"/>
      <c r="G254" s="71"/>
      <c r="H254" s="71"/>
      <c r="I254" s="240" t="s">
        <v>145</v>
      </c>
      <c r="J254" s="240"/>
      <c r="K254" s="241"/>
      <c r="L254" s="49"/>
      <c r="M254" s="49"/>
      <c r="N254" s="49"/>
      <c r="O254" s="49"/>
      <c r="P254" s="49"/>
      <c r="Q254" s="49"/>
      <c r="R254" s="72"/>
      <c r="S254" s="49"/>
      <c r="T254" s="49"/>
      <c r="U254" s="49"/>
      <c r="V254" s="49"/>
      <c r="W254" s="49"/>
      <c r="X254" s="49"/>
      <c r="Y254" s="49"/>
      <c r="Z254" s="49"/>
      <c r="AA254" s="49"/>
      <c r="AB254" s="49"/>
      <c r="AC254" s="49">
        <f t="shared" si="81"/>
        <v>0</v>
      </c>
      <c r="AD254" s="49"/>
      <c r="AE254" s="49"/>
      <c r="AF254" s="49"/>
      <c r="AG254" s="49"/>
      <c r="AH254" s="49"/>
      <c r="AI254" s="49"/>
      <c r="AJ254" s="49"/>
      <c r="AK254" s="49"/>
      <c r="AL254" s="49"/>
      <c r="AM254" s="49"/>
      <c r="AN254" s="49"/>
      <c r="AO254" s="49"/>
      <c r="AP254" s="49"/>
      <c r="AQ254" s="49"/>
      <c r="AR254" s="49"/>
      <c r="AS254" s="49"/>
      <c r="AT254" s="49"/>
      <c r="AU254" s="49"/>
      <c r="AV254" s="49"/>
      <c r="AW254" s="49"/>
      <c r="AX254" s="49"/>
      <c r="AY254" s="49"/>
      <c r="AZ254" s="73">
        <f t="shared" si="79"/>
        <v>0</v>
      </c>
      <c r="BA254" s="73"/>
    </row>
    <row r="255" spans="1:53" ht="20.100000000000001" hidden="1" customHeight="1">
      <c r="A255" s="68"/>
      <c r="B255" s="69"/>
      <c r="C255" s="240" t="s">
        <v>442</v>
      </c>
      <c r="D255" s="240"/>
      <c r="E255" s="241"/>
      <c r="F255" s="70"/>
      <c r="G255" s="71"/>
      <c r="H255" s="71"/>
      <c r="I255" s="71"/>
      <c r="J255" s="240" t="s">
        <v>147</v>
      </c>
      <c r="K255" s="241"/>
      <c r="L255" s="49">
        <v>3233000</v>
      </c>
      <c r="M255" s="49">
        <v>0</v>
      </c>
      <c r="N255" s="49"/>
      <c r="O255" s="49"/>
      <c r="P255" s="49"/>
      <c r="Q255" s="49">
        <f>SUM(N255:P255)</f>
        <v>0</v>
      </c>
      <c r="R255" s="72"/>
      <c r="S255" s="49">
        <f>M255-Q255</f>
        <v>0</v>
      </c>
      <c r="T255" s="49">
        <v>0</v>
      </c>
      <c r="U255" s="49">
        <f>T255+M255</f>
        <v>0</v>
      </c>
      <c r="V255" s="49">
        <f>T255+S255</f>
        <v>0</v>
      </c>
      <c r="W255" s="49"/>
      <c r="X255" s="49"/>
      <c r="Y255" s="49"/>
      <c r="Z255" s="49"/>
      <c r="AA255" s="49">
        <v>3233000</v>
      </c>
      <c r="AB255" s="49">
        <v>3233000</v>
      </c>
      <c r="AC255" s="49">
        <f t="shared" si="81"/>
        <v>0</v>
      </c>
      <c r="AD255" s="49">
        <f>AA255+T255+M255</f>
        <v>3233000</v>
      </c>
      <c r="AE255" s="49"/>
      <c r="AF255" s="49"/>
      <c r="AG255" s="49"/>
      <c r="AH255" s="49">
        <v>1873000</v>
      </c>
      <c r="AI255" s="49"/>
      <c r="AJ255" s="49"/>
      <c r="AK255" s="49">
        <f>Z255+Y255+X255+W255+N255+AG255+AJ255+AI255+AH255</f>
        <v>1873000</v>
      </c>
      <c r="AL255" s="49">
        <f>AK255/AD255*100</f>
        <v>57.933807609031859</v>
      </c>
      <c r="AM255" s="49"/>
      <c r="AN255" s="49"/>
      <c r="AO255" s="49"/>
      <c r="AP255" s="49"/>
      <c r="AQ255" s="49">
        <f>AK255+AM255+AN255+AO255+AP255</f>
        <v>1873000</v>
      </c>
      <c r="AR255" s="49">
        <f>AQ255/AB255*100</f>
        <v>57.933807609031859</v>
      </c>
      <c r="AS255" s="49">
        <f>AB255-AQ255</f>
        <v>1360000</v>
      </c>
      <c r="AT255" s="49">
        <v>3091500</v>
      </c>
      <c r="AU255" s="49">
        <f>AT255+U255</f>
        <v>3091500</v>
      </c>
      <c r="AV255" s="49">
        <f>AK255</f>
        <v>1873000</v>
      </c>
      <c r="AW255" s="72">
        <f>AV255/AU255*100</f>
        <v>60.585476306000317</v>
      </c>
      <c r="AX255" s="49">
        <f>AU255-AV255</f>
        <v>1218500</v>
      </c>
      <c r="AY255" s="49">
        <f>AS255/AB255*100</f>
        <v>42.066192390968141</v>
      </c>
      <c r="AZ255" s="73">
        <f t="shared" si="79"/>
        <v>1873000</v>
      </c>
      <c r="BA255" s="73"/>
    </row>
    <row r="256" spans="1:53" ht="20.100000000000001" hidden="1" customHeight="1">
      <c r="A256" s="68"/>
      <c r="B256" s="69"/>
      <c r="C256" s="240" t="s">
        <v>443</v>
      </c>
      <c r="D256" s="240"/>
      <c r="E256" s="241"/>
      <c r="F256" s="70"/>
      <c r="G256" s="71"/>
      <c r="H256" s="71"/>
      <c r="I256" s="240" t="s">
        <v>389</v>
      </c>
      <c r="J256" s="240"/>
      <c r="K256" s="241"/>
      <c r="L256" s="49"/>
      <c r="M256" s="49"/>
      <c r="N256" s="49"/>
      <c r="O256" s="49"/>
      <c r="P256" s="49"/>
      <c r="Q256" s="49"/>
      <c r="R256" s="72"/>
      <c r="S256" s="49"/>
      <c r="T256" s="49"/>
      <c r="U256" s="49"/>
      <c r="V256" s="49"/>
      <c r="W256" s="49"/>
      <c r="X256" s="49"/>
      <c r="Y256" s="49"/>
      <c r="Z256" s="49"/>
      <c r="AA256" s="49"/>
      <c r="AB256" s="49"/>
      <c r="AC256" s="49">
        <f t="shared" si="81"/>
        <v>0</v>
      </c>
      <c r="AD256" s="49"/>
      <c r="AE256" s="49"/>
      <c r="AF256" s="49"/>
      <c r="AG256" s="49"/>
      <c r="AH256" s="49"/>
      <c r="AI256" s="49"/>
      <c r="AJ256" s="49"/>
      <c r="AK256" s="49"/>
      <c r="AL256" s="49"/>
      <c r="AM256" s="49"/>
      <c r="AN256" s="49"/>
      <c r="AO256" s="49"/>
      <c r="AP256" s="49"/>
      <c r="AQ256" s="49"/>
      <c r="AR256" s="49"/>
      <c r="AS256" s="49"/>
      <c r="AT256" s="49"/>
      <c r="AU256" s="49"/>
      <c r="AV256" s="49"/>
      <c r="AW256" s="49"/>
      <c r="AX256" s="49"/>
      <c r="AY256" s="49"/>
      <c r="AZ256" s="73">
        <f t="shared" si="79"/>
        <v>0</v>
      </c>
      <c r="BA256" s="73"/>
    </row>
    <row r="257" spans="1:53" ht="20.100000000000001" hidden="1" customHeight="1">
      <c r="A257" s="68"/>
      <c r="B257" s="69"/>
      <c r="C257" s="240" t="s">
        <v>444</v>
      </c>
      <c r="D257" s="240"/>
      <c r="E257" s="241"/>
      <c r="F257" s="70"/>
      <c r="G257" s="71"/>
      <c r="H257" s="71"/>
      <c r="I257" s="71"/>
      <c r="J257" s="240" t="s">
        <v>391</v>
      </c>
      <c r="K257" s="241"/>
      <c r="L257" s="49">
        <v>30494700</v>
      </c>
      <c r="M257" s="49">
        <v>0</v>
      </c>
      <c r="N257" s="49"/>
      <c r="O257" s="49"/>
      <c r="P257" s="49"/>
      <c r="Q257" s="49">
        <f>SUM(N257:P257)</f>
        <v>0</v>
      </c>
      <c r="R257" s="72"/>
      <c r="S257" s="49">
        <f>M257-Q257</f>
        <v>0</v>
      </c>
      <c r="T257" s="49">
        <v>0</v>
      </c>
      <c r="U257" s="49">
        <f>T257+M257</f>
        <v>0</v>
      </c>
      <c r="V257" s="49">
        <f>T257+S257</f>
        <v>0</v>
      </c>
      <c r="W257" s="49"/>
      <c r="X257" s="49"/>
      <c r="Y257" s="49"/>
      <c r="Z257" s="49"/>
      <c r="AA257" s="49">
        <v>30494700</v>
      </c>
      <c r="AB257" s="49">
        <v>30494700</v>
      </c>
      <c r="AC257" s="49">
        <f t="shared" si="81"/>
        <v>0</v>
      </c>
      <c r="AD257" s="49">
        <f>AA257+T257+M257</f>
        <v>30494700</v>
      </c>
      <c r="AE257" s="49"/>
      <c r="AF257" s="49"/>
      <c r="AG257" s="49"/>
      <c r="AH257" s="49">
        <f>13416000</f>
        <v>13416000</v>
      </c>
      <c r="AI257" s="49"/>
      <c r="AJ257" s="49"/>
      <c r="AK257" s="49">
        <f>Z257+Y257+X257+W257+N257+AG257+AJ257+AI257+AH257</f>
        <v>13416000</v>
      </c>
      <c r="AL257" s="49">
        <f>AK257/AD257*100</f>
        <v>43.994530197050636</v>
      </c>
      <c r="AM257" s="49"/>
      <c r="AN257" s="49"/>
      <c r="AO257" s="49"/>
      <c r="AP257" s="49"/>
      <c r="AQ257" s="49">
        <f>AK257+AM257+AN257+AO257+AP257</f>
        <v>13416000</v>
      </c>
      <c r="AR257" s="49">
        <f>AQ257/AB257*100</f>
        <v>43.994530197050636</v>
      </c>
      <c r="AS257" s="49">
        <f>AB257-AQ257</f>
        <v>17078700</v>
      </c>
      <c r="AT257" s="49">
        <v>3091500</v>
      </c>
      <c r="AU257" s="49">
        <f>AT257+U257</f>
        <v>3091500</v>
      </c>
      <c r="AV257" s="49">
        <f>AK257</f>
        <v>13416000</v>
      </c>
      <c r="AW257" s="72">
        <f>AV257/AU257*100</f>
        <v>433.96409509946625</v>
      </c>
      <c r="AX257" s="49">
        <f>AU257-AV257</f>
        <v>-10324500</v>
      </c>
      <c r="AY257" s="49">
        <f>AS257/AB257*100</f>
        <v>56.005469802949371</v>
      </c>
      <c r="AZ257" s="73">
        <f t="shared" si="79"/>
        <v>13416000</v>
      </c>
      <c r="BA257" s="73"/>
    </row>
    <row r="258" spans="1:53" ht="20.100000000000001" hidden="1" customHeight="1">
      <c r="A258" s="68"/>
      <c r="B258" s="69"/>
      <c r="C258" s="240" t="s">
        <v>445</v>
      </c>
      <c r="D258" s="240"/>
      <c r="E258" s="241"/>
      <c r="F258" s="70"/>
      <c r="G258" s="71"/>
      <c r="H258" s="71"/>
      <c r="I258" s="240" t="s">
        <v>163</v>
      </c>
      <c r="J258" s="240"/>
      <c r="K258" s="241"/>
      <c r="L258" s="49"/>
      <c r="M258" s="49"/>
      <c r="N258" s="49"/>
      <c r="O258" s="49"/>
      <c r="P258" s="49"/>
      <c r="Q258" s="49"/>
      <c r="R258" s="72"/>
      <c r="S258" s="49"/>
      <c r="T258" s="49"/>
      <c r="U258" s="49"/>
      <c r="V258" s="49"/>
      <c r="W258" s="49"/>
      <c r="X258" s="49"/>
      <c r="Y258" s="49"/>
      <c r="Z258" s="49"/>
      <c r="AA258" s="49"/>
      <c r="AB258" s="49"/>
      <c r="AC258" s="49">
        <f t="shared" si="81"/>
        <v>0</v>
      </c>
      <c r="AD258" s="49"/>
      <c r="AE258" s="49"/>
      <c r="AF258" s="49"/>
      <c r="AG258" s="49"/>
      <c r="AH258" s="49"/>
      <c r="AI258" s="49"/>
      <c r="AJ258" s="49"/>
      <c r="AK258" s="49"/>
      <c r="AL258" s="49"/>
      <c r="AM258" s="49"/>
      <c r="AN258" s="49"/>
      <c r="AO258" s="49"/>
      <c r="AP258" s="49"/>
      <c r="AQ258" s="49"/>
      <c r="AR258" s="49"/>
      <c r="AS258" s="49"/>
      <c r="AT258" s="49"/>
      <c r="AU258" s="49"/>
      <c r="AV258" s="49"/>
      <c r="AW258" s="49"/>
      <c r="AX258" s="49"/>
      <c r="AY258" s="49"/>
      <c r="AZ258" s="73">
        <f t="shared" si="79"/>
        <v>0</v>
      </c>
      <c r="BA258" s="73"/>
    </row>
    <row r="259" spans="1:53" ht="20.100000000000001" hidden="1" customHeight="1">
      <c r="A259" s="68"/>
      <c r="B259" s="69"/>
      <c r="C259" s="240" t="s">
        <v>446</v>
      </c>
      <c r="D259" s="240"/>
      <c r="E259" s="241"/>
      <c r="F259" s="70"/>
      <c r="G259" s="71"/>
      <c r="H259" s="71"/>
      <c r="I259" s="71"/>
      <c r="J259" s="240" t="s">
        <v>447</v>
      </c>
      <c r="K259" s="241"/>
      <c r="L259" s="49">
        <v>60000000</v>
      </c>
      <c r="M259" s="49">
        <v>0</v>
      </c>
      <c r="N259" s="49"/>
      <c r="O259" s="49"/>
      <c r="P259" s="49"/>
      <c r="Q259" s="49">
        <f>SUM(N259:P259)</f>
        <v>0</v>
      </c>
      <c r="R259" s="72"/>
      <c r="S259" s="49">
        <f>M259-Q259</f>
        <v>0</v>
      </c>
      <c r="T259" s="49">
        <v>0</v>
      </c>
      <c r="U259" s="49">
        <f>T259+M259</f>
        <v>0</v>
      </c>
      <c r="V259" s="49">
        <f>T259+S259</f>
        <v>0</v>
      </c>
      <c r="W259" s="49"/>
      <c r="X259" s="49"/>
      <c r="Y259" s="49"/>
      <c r="Z259" s="49"/>
      <c r="AA259" s="49">
        <v>60000000</v>
      </c>
      <c r="AB259" s="49">
        <v>60000000</v>
      </c>
      <c r="AC259" s="49">
        <f t="shared" si="81"/>
        <v>0</v>
      </c>
      <c r="AD259" s="49">
        <f>AA259+T259+M259</f>
        <v>60000000</v>
      </c>
      <c r="AE259" s="49"/>
      <c r="AF259" s="49"/>
      <c r="AG259" s="49"/>
      <c r="AH259" s="49">
        <v>30000000</v>
      </c>
      <c r="AI259" s="49"/>
      <c r="AJ259" s="49"/>
      <c r="AK259" s="49">
        <f>Z259+Y259+X259+W259+N259+AG259+AJ259+AI259+AH259</f>
        <v>30000000</v>
      </c>
      <c r="AL259" s="49">
        <f>AK259/AD259*100</f>
        <v>50</v>
      </c>
      <c r="AM259" s="49"/>
      <c r="AN259" s="49"/>
      <c r="AO259" s="49"/>
      <c r="AP259" s="49"/>
      <c r="AQ259" s="49">
        <f>AK259+AM259+AN259+AO259+AP259</f>
        <v>30000000</v>
      </c>
      <c r="AR259" s="49">
        <f>AQ259/AB259*100</f>
        <v>50</v>
      </c>
      <c r="AS259" s="49">
        <f>AB259-AQ259</f>
        <v>30000000</v>
      </c>
      <c r="AT259" s="49">
        <v>3091500</v>
      </c>
      <c r="AU259" s="49">
        <f>AT259+U259</f>
        <v>3091500</v>
      </c>
      <c r="AV259" s="49">
        <f>AK259</f>
        <v>30000000</v>
      </c>
      <c r="AW259" s="72">
        <f>AV259/AU259*100</f>
        <v>970.40271712760796</v>
      </c>
      <c r="AX259" s="49">
        <f>AU259-AV259</f>
        <v>-26908500</v>
      </c>
      <c r="AY259" s="49">
        <f>AS259/AB259*100</f>
        <v>50</v>
      </c>
      <c r="AZ259" s="73">
        <f t="shared" si="79"/>
        <v>30000000</v>
      </c>
      <c r="BA259" s="73"/>
    </row>
    <row r="260" spans="1:53" ht="20.100000000000001" hidden="1" customHeight="1">
      <c r="A260" s="68"/>
      <c r="B260" s="69"/>
      <c r="C260" s="240" t="s">
        <v>448</v>
      </c>
      <c r="D260" s="240"/>
      <c r="E260" s="241"/>
      <c r="F260" s="70"/>
      <c r="G260" s="71"/>
      <c r="H260" s="71"/>
      <c r="I260" s="71"/>
      <c r="J260" s="240" t="s">
        <v>352</v>
      </c>
      <c r="K260" s="241"/>
      <c r="L260" s="49">
        <v>8000000</v>
      </c>
      <c r="M260" s="49">
        <v>0</v>
      </c>
      <c r="N260" s="49"/>
      <c r="O260" s="49"/>
      <c r="P260" s="49"/>
      <c r="Q260" s="49">
        <f>SUM(N260:P260)</f>
        <v>0</v>
      </c>
      <c r="R260" s="72"/>
      <c r="S260" s="49">
        <f>M260-Q260</f>
        <v>0</v>
      </c>
      <c r="T260" s="49">
        <v>0</v>
      </c>
      <c r="U260" s="49">
        <f>T260+M260</f>
        <v>0</v>
      </c>
      <c r="V260" s="49">
        <f>T260+S260</f>
        <v>0</v>
      </c>
      <c r="W260" s="49"/>
      <c r="X260" s="49"/>
      <c r="Y260" s="49"/>
      <c r="Z260" s="49"/>
      <c r="AA260" s="49">
        <v>8000000</v>
      </c>
      <c r="AB260" s="49">
        <v>8000000</v>
      </c>
      <c r="AC260" s="49">
        <f t="shared" si="81"/>
        <v>0</v>
      </c>
      <c r="AD260" s="49">
        <f>AA260+T260+M260</f>
        <v>8000000</v>
      </c>
      <c r="AE260" s="49"/>
      <c r="AF260" s="49"/>
      <c r="AG260" s="49"/>
      <c r="AH260" s="49">
        <v>4000000</v>
      </c>
      <c r="AI260" s="49"/>
      <c r="AJ260" s="49"/>
      <c r="AK260" s="49">
        <f>Z260+Y260+X260+W260+N260+AG260+AJ260+AI260+AH260</f>
        <v>4000000</v>
      </c>
      <c r="AL260" s="49">
        <f>AK260/AD260*100</f>
        <v>50</v>
      </c>
      <c r="AM260" s="49"/>
      <c r="AN260" s="49"/>
      <c r="AO260" s="49"/>
      <c r="AP260" s="49"/>
      <c r="AQ260" s="49">
        <f>AK260+AM260+AN260+AO260+AP260</f>
        <v>4000000</v>
      </c>
      <c r="AR260" s="49">
        <f>AQ260/AB260*100</f>
        <v>50</v>
      </c>
      <c r="AS260" s="49">
        <f>AB260-AQ260</f>
        <v>4000000</v>
      </c>
      <c r="AT260" s="49">
        <v>3091500</v>
      </c>
      <c r="AU260" s="49">
        <f>AT260+U260</f>
        <v>3091500</v>
      </c>
      <c r="AV260" s="49">
        <f>AK260</f>
        <v>4000000</v>
      </c>
      <c r="AW260" s="72">
        <f>AV260/AU260*100</f>
        <v>129.38702895034771</v>
      </c>
      <c r="AX260" s="49">
        <f>AU260-AV260</f>
        <v>-908500</v>
      </c>
      <c r="AY260" s="49">
        <f>AS260/AB260*100</f>
        <v>50</v>
      </c>
      <c r="AZ260" s="73">
        <f t="shared" si="79"/>
        <v>4000000</v>
      </c>
      <c r="BA260" s="73"/>
    </row>
    <row r="261" spans="1:53" ht="20.100000000000001" hidden="1" customHeight="1">
      <c r="A261" s="68"/>
      <c r="B261" s="69"/>
      <c r="C261" s="240" t="s">
        <v>449</v>
      </c>
      <c r="D261" s="240"/>
      <c r="E261" s="241"/>
      <c r="F261" s="70"/>
      <c r="G261" s="71"/>
      <c r="H261" s="71"/>
      <c r="I261" s="240" t="s">
        <v>151</v>
      </c>
      <c r="J261" s="240"/>
      <c r="K261" s="241"/>
      <c r="L261" s="49"/>
      <c r="M261" s="49"/>
      <c r="N261" s="49"/>
      <c r="O261" s="49"/>
      <c r="P261" s="49"/>
      <c r="Q261" s="49"/>
      <c r="R261" s="72"/>
      <c r="S261" s="49"/>
      <c r="T261" s="49"/>
      <c r="U261" s="49"/>
      <c r="V261" s="49"/>
      <c r="W261" s="49"/>
      <c r="X261" s="49"/>
      <c r="Y261" s="49"/>
      <c r="Z261" s="49"/>
      <c r="AA261" s="49"/>
      <c r="AB261" s="49"/>
      <c r="AC261" s="49">
        <f t="shared" si="81"/>
        <v>0</v>
      </c>
      <c r="AD261" s="49"/>
      <c r="AE261" s="49"/>
      <c r="AF261" s="49"/>
      <c r="AG261" s="49"/>
      <c r="AH261" s="49"/>
      <c r="AI261" s="49"/>
      <c r="AJ261" s="49"/>
      <c r="AK261" s="49"/>
      <c r="AL261" s="49"/>
      <c r="AM261" s="49"/>
      <c r="AN261" s="49"/>
      <c r="AO261" s="49"/>
      <c r="AP261" s="49"/>
      <c r="AQ261" s="49"/>
      <c r="AR261" s="49"/>
      <c r="AS261" s="49"/>
      <c r="AT261" s="49"/>
      <c r="AU261" s="49"/>
      <c r="AV261" s="49"/>
      <c r="AW261" s="49"/>
      <c r="AX261" s="49"/>
      <c r="AY261" s="49"/>
      <c r="AZ261" s="73">
        <f t="shared" si="79"/>
        <v>0</v>
      </c>
      <c r="BA261" s="73"/>
    </row>
    <row r="262" spans="1:53" ht="20.100000000000001" hidden="1" customHeight="1">
      <c r="A262" s="68"/>
      <c r="B262" s="69"/>
      <c r="C262" s="240" t="s">
        <v>450</v>
      </c>
      <c r="D262" s="240"/>
      <c r="E262" s="241"/>
      <c r="F262" s="70"/>
      <c r="G262" s="71"/>
      <c r="H262" s="71"/>
      <c r="I262" s="71"/>
      <c r="J262" s="240" t="s">
        <v>155</v>
      </c>
      <c r="K262" s="241"/>
      <c r="L262" s="49">
        <v>1617300</v>
      </c>
      <c r="M262" s="49">
        <v>0</v>
      </c>
      <c r="N262" s="49"/>
      <c r="O262" s="49"/>
      <c r="P262" s="49"/>
      <c r="Q262" s="49">
        <f>SUM(N262:P262)</f>
        <v>0</v>
      </c>
      <c r="R262" s="72"/>
      <c r="S262" s="49">
        <f>M262-Q262</f>
        <v>0</v>
      </c>
      <c r="T262" s="49">
        <v>0</v>
      </c>
      <c r="U262" s="49">
        <f>T262+M262</f>
        <v>0</v>
      </c>
      <c r="V262" s="49">
        <f>T262+S262</f>
        <v>0</v>
      </c>
      <c r="W262" s="49"/>
      <c r="X262" s="49"/>
      <c r="Y262" s="49"/>
      <c r="Z262" s="49"/>
      <c r="AA262" s="49">
        <v>1617300</v>
      </c>
      <c r="AB262" s="49">
        <v>1617300</v>
      </c>
      <c r="AC262" s="49">
        <f t="shared" si="81"/>
        <v>0</v>
      </c>
      <c r="AD262" s="49">
        <f>AA262+T262+M262</f>
        <v>1617300</v>
      </c>
      <c r="AE262" s="49"/>
      <c r="AF262" s="49"/>
      <c r="AG262" s="49"/>
      <c r="AH262" s="49">
        <v>1617175</v>
      </c>
      <c r="AI262" s="49"/>
      <c r="AJ262" s="49"/>
      <c r="AK262" s="49">
        <f>Z262+Y262+X262+W262+N262+AG262+AJ262+AI262+AH262</f>
        <v>1617175</v>
      </c>
      <c r="AL262" s="49">
        <f>AK262/AD262*100</f>
        <v>99.992271069065737</v>
      </c>
      <c r="AM262" s="49"/>
      <c r="AN262" s="49"/>
      <c r="AO262" s="49"/>
      <c r="AP262" s="49"/>
      <c r="AQ262" s="49">
        <f>AK262+AM262+AN262+AO262+AP262</f>
        <v>1617175</v>
      </c>
      <c r="AR262" s="49">
        <f>AQ262/AB262*100</f>
        <v>99.992271069065737</v>
      </c>
      <c r="AS262" s="49">
        <f>AB262-AQ262</f>
        <v>125</v>
      </c>
      <c r="AT262" s="49">
        <v>3091500</v>
      </c>
      <c r="AU262" s="49">
        <f>AT262+U262</f>
        <v>3091500</v>
      </c>
      <c r="AV262" s="49">
        <f>AK262</f>
        <v>1617175</v>
      </c>
      <c r="AW262" s="72">
        <f>AV262/AU262*100</f>
        <v>52.310367135694648</v>
      </c>
      <c r="AX262" s="49">
        <f>AU262-AV262</f>
        <v>1474325</v>
      </c>
      <c r="AY262" s="49">
        <f>AS262/AB262*100</f>
        <v>7.7289309342731712E-3</v>
      </c>
      <c r="AZ262" s="73">
        <f t="shared" si="79"/>
        <v>1617175</v>
      </c>
      <c r="BA262" s="73"/>
    </row>
    <row r="263" spans="1:53" ht="20.100000000000001" hidden="1" customHeight="1">
      <c r="A263" s="68"/>
      <c r="B263" s="69"/>
      <c r="C263" s="240" t="s">
        <v>451</v>
      </c>
      <c r="D263" s="240"/>
      <c r="E263" s="241"/>
      <c r="F263" s="70"/>
      <c r="G263" s="71"/>
      <c r="H263" s="71"/>
      <c r="I263" s="240" t="s">
        <v>193</v>
      </c>
      <c r="J263" s="240"/>
      <c r="K263" s="241"/>
      <c r="L263" s="49"/>
      <c r="M263" s="49"/>
      <c r="N263" s="49"/>
      <c r="O263" s="49"/>
      <c r="P263" s="49"/>
      <c r="Q263" s="49"/>
      <c r="R263" s="72"/>
      <c r="S263" s="49"/>
      <c r="T263" s="49"/>
      <c r="U263" s="49"/>
      <c r="V263" s="49"/>
      <c r="W263" s="49"/>
      <c r="X263" s="49"/>
      <c r="Y263" s="49"/>
      <c r="Z263" s="49"/>
      <c r="AA263" s="49"/>
      <c r="AB263" s="49"/>
      <c r="AC263" s="49">
        <f t="shared" si="81"/>
        <v>0</v>
      </c>
      <c r="AD263" s="49"/>
      <c r="AE263" s="49"/>
      <c r="AF263" s="49"/>
      <c r="AG263" s="49"/>
      <c r="AH263" s="49"/>
      <c r="AI263" s="49"/>
      <c r="AJ263" s="49"/>
      <c r="AK263" s="49"/>
      <c r="AL263" s="49"/>
      <c r="AM263" s="49"/>
      <c r="AN263" s="49"/>
      <c r="AO263" s="49"/>
      <c r="AP263" s="49"/>
      <c r="AQ263" s="49"/>
      <c r="AR263" s="49"/>
      <c r="AS263" s="49"/>
      <c r="AT263" s="49"/>
      <c r="AU263" s="49"/>
      <c r="AV263" s="49"/>
      <c r="AW263" s="49"/>
      <c r="AX263" s="49"/>
      <c r="AY263" s="49"/>
      <c r="AZ263" s="73">
        <f t="shared" si="79"/>
        <v>0</v>
      </c>
      <c r="BA263" s="73"/>
    </row>
    <row r="264" spans="1:53" ht="20.100000000000001" hidden="1" customHeight="1">
      <c r="A264" s="68"/>
      <c r="B264" s="69"/>
      <c r="C264" s="240" t="s">
        <v>452</v>
      </c>
      <c r="D264" s="240"/>
      <c r="E264" s="241"/>
      <c r="F264" s="70"/>
      <c r="G264" s="71"/>
      <c r="H264" s="71"/>
      <c r="I264" s="71"/>
      <c r="J264" s="240" t="s">
        <v>195</v>
      </c>
      <c r="K264" s="241"/>
      <c r="L264" s="49">
        <v>16800000</v>
      </c>
      <c r="M264" s="49">
        <v>0</v>
      </c>
      <c r="N264" s="49"/>
      <c r="O264" s="49"/>
      <c r="P264" s="49"/>
      <c r="Q264" s="49">
        <f>SUM(N264:P264)</f>
        <v>0</v>
      </c>
      <c r="R264" s="72"/>
      <c r="S264" s="49">
        <f>M264-Q264</f>
        <v>0</v>
      </c>
      <c r="T264" s="49">
        <v>0</v>
      </c>
      <c r="U264" s="49">
        <f>T264+M264</f>
        <v>0</v>
      </c>
      <c r="V264" s="49">
        <f>T264+S264</f>
        <v>0</v>
      </c>
      <c r="W264" s="49"/>
      <c r="X264" s="49"/>
      <c r="Y264" s="49"/>
      <c r="Z264" s="49"/>
      <c r="AA264" s="49">
        <v>16800000</v>
      </c>
      <c r="AB264" s="49">
        <v>16800000</v>
      </c>
      <c r="AC264" s="49">
        <f t="shared" si="81"/>
        <v>0</v>
      </c>
      <c r="AD264" s="49">
        <f>AA264+T264+M264</f>
        <v>16800000</v>
      </c>
      <c r="AE264" s="49"/>
      <c r="AF264" s="49"/>
      <c r="AG264" s="49"/>
      <c r="AH264" s="49">
        <v>8400000</v>
      </c>
      <c r="AI264" s="49"/>
      <c r="AJ264" s="49"/>
      <c r="AK264" s="49">
        <f>Z264+Y264+X264+W264+N264+AG264+AJ264+AI264+AH264</f>
        <v>8400000</v>
      </c>
      <c r="AL264" s="49">
        <f>AK264/AD264*100</f>
        <v>50</v>
      </c>
      <c r="AM264" s="49"/>
      <c r="AN264" s="49"/>
      <c r="AO264" s="49"/>
      <c r="AP264" s="49"/>
      <c r="AQ264" s="49">
        <f>AK264+AM264+AN264+AO264+AP264</f>
        <v>8400000</v>
      </c>
      <c r="AR264" s="49">
        <f>AQ264/AB264*100</f>
        <v>50</v>
      </c>
      <c r="AS264" s="49">
        <f>AB264-AQ264</f>
        <v>8400000</v>
      </c>
      <c r="AT264" s="49">
        <v>3091500</v>
      </c>
      <c r="AU264" s="49">
        <f>AT264+U264</f>
        <v>3091500</v>
      </c>
      <c r="AV264" s="49">
        <f>AK264</f>
        <v>8400000</v>
      </c>
      <c r="AW264" s="72">
        <f>AV264/AU264*100</f>
        <v>271.71276079573022</v>
      </c>
      <c r="AX264" s="49">
        <f>AU264-AV264</f>
        <v>-5308500</v>
      </c>
      <c r="AY264" s="49">
        <f>AS264/AB264*100</f>
        <v>50</v>
      </c>
      <c r="AZ264" s="73">
        <f t="shared" si="79"/>
        <v>8400000</v>
      </c>
      <c r="BA264" s="73"/>
    </row>
    <row r="265" spans="1:53" ht="20.100000000000001" hidden="1" customHeight="1">
      <c r="A265" s="68"/>
      <c r="B265" s="69"/>
      <c r="C265" s="240" t="s">
        <v>453</v>
      </c>
      <c r="D265" s="240"/>
      <c r="E265" s="241"/>
      <c r="F265" s="70"/>
      <c r="G265" s="71"/>
      <c r="H265" s="71"/>
      <c r="I265" s="240" t="s">
        <v>157</v>
      </c>
      <c r="J265" s="240"/>
      <c r="K265" s="241"/>
      <c r="L265" s="49"/>
      <c r="M265" s="49"/>
      <c r="N265" s="49"/>
      <c r="O265" s="49"/>
      <c r="P265" s="49"/>
      <c r="Q265" s="49"/>
      <c r="R265" s="72"/>
      <c r="S265" s="49"/>
      <c r="T265" s="49"/>
      <c r="U265" s="49"/>
      <c r="V265" s="49"/>
      <c r="W265" s="49"/>
      <c r="X265" s="49"/>
      <c r="Y265" s="49"/>
      <c r="Z265" s="49"/>
      <c r="AA265" s="49"/>
      <c r="AB265" s="49"/>
      <c r="AC265" s="49">
        <f t="shared" si="81"/>
        <v>0</v>
      </c>
      <c r="AD265" s="49"/>
      <c r="AE265" s="49"/>
      <c r="AF265" s="49"/>
      <c r="AG265" s="49"/>
      <c r="AH265" s="49"/>
      <c r="AI265" s="49"/>
      <c r="AJ265" s="49"/>
      <c r="AK265" s="49"/>
      <c r="AL265" s="49"/>
      <c r="AM265" s="49"/>
      <c r="AN265" s="49"/>
      <c r="AO265" s="49"/>
      <c r="AP265" s="49"/>
      <c r="AQ265" s="49"/>
      <c r="AR265" s="49"/>
      <c r="AS265" s="49"/>
      <c r="AT265" s="49"/>
      <c r="AU265" s="49"/>
      <c r="AV265" s="49"/>
      <c r="AW265" s="49"/>
      <c r="AX265" s="49"/>
      <c r="AY265" s="49"/>
      <c r="AZ265" s="73">
        <f t="shared" si="79"/>
        <v>0</v>
      </c>
      <c r="BA265" s="73"/>
    </row>
    <row r="266" spans="1:53" ht="20.100000000000001" hidden="1" customHeight="1">
      <c r="A266" s="68"/>
      <c r="B266" s="69"/>
      <c r="C266" s="240" t="s">
        <v>454</v>
      </c>
      <c r="D266" s="240"/>
      <c r="E266" s="241"/>
      <c r="F266" s="70"/>
      <c r="G266" s="71"/>
      <c r="H266" s="71"/>
      <c r="I266" s="71"/>
      <c r="J266" s="240" t="s">
        <v>159</v>
      </c>
      <c r="K266" s="241"/>
      <c r="L266" s="49">
        <v>3440000</v>
      </c>
      <c r="M266" s="49">
        <v>0</v>
      </c>
      <c r="N266" s="49"/>
      <c r="O266" s="49"/>
      <c r="P266" s="49"/>
      <c r="Q266" s="49">
        <f>SUM(N266:P266)</f>
        <v>0</v>
      </c>
      <c r="R266" s="72"/>
      <c r="S266" s="49">
        <f>M266-Q266</f>
        <v>0</v>
      </c>
      <c r="T266" s="49">
        <v>0</v>
      </c>
      <c r="U266" s="49">
        <f>T266+M266</f>
        <v>0</v>
      </c>
      <c r="V266" s="49">
        <f>T266+S266</f>
        <v>0</v>
      </c>
      <c r="W266" s="49"/>
      <c r="X266" s="49"/>
      <c r="Y266" s="49"/>
      <c r="Z266" s="49"/>
      <c r="AA266" s="49">
        <v>3440000</v>
      </c>
      <c r="AB266" s="49">
        <v>3440000</v>
      </c>
      <c r="AC266" s="49">
        <f t="shared" si="81"/>
        <v>0</v>
      </c>
      <c r="AD266" s="49">
        <f>AA266+T266+M266</f>
        <v>3440000</v>
      </c>
      <c r="AE266" s="49"/>
      <c r="AF266" s="49"/>
      <c r="AG266" s="49"/>
      <c r="AH266" s="49">
        <v>3440000</v>
      </c>
      <c r="AI266" s="49"/>
      <c r="AJ266" s="49"/>
      <c r="AK266" s="49">
        <f>Z266+Y266+X266+W266+N266+AG266+AJ266+AI266+AH266</f>
        <v>3440000</v>
      </c>
      <c r="AL266" s="49">
        <f>AK266/AD266*100</f>
        <v>100</v>
      </c>
      <c r="AM266" s="49"/>
      <c r="AN266" s="49"/>
      <c r="AO266" s="49"/>
      <c r="AP266" s="49"/>
      <c r="AQ266" s="49">
        <f>AK266+AM266+AN266+AO266+AP266</f>
        <v>3440000</v>
      </c>
      <c r="AR266" s="49">
        <f>AQ266/AB266*100</f>
        <v>100</v>
      </c>
      <c r="AS266" s="49">
        <f>AB266-AQ266</f>
        <v>0</v>
      </c>
      <c r="AT266" s="49">
        <v>3091500</v>
      </c>
      <c r="AU266" s="49">
        <f>AT266+U266</f>
        <v>3091500</v>
      </c>
      <c r="AV266" s="49">
        <f>AK266</f>
        <v>3440000</v>
      </c>
      <c r="AW266" s="72">
        <f>AV266/AU266*100</f>
        <v>111.27284489729905</v>
      </c>
      <c r="AX266" s="49">
        <f>AU266-AV266</f>
        <v>-348500</v>
      </c>
      <c r="AY266" s="49">
        <f>AS266/AB266*100</f>
        <v>0</v>
      </c>
      <c r="AZ266" s="73">
        <f t="shared" si="79"/>
        <v>3440000</v>
      </c>
      <c r="BA266" s="73"/>
    </row>
    <row r="267" spans="1:53" ht="20.100000000000001" hidden="1" customHeight="1">
      <c r="A267" s="68"/>
      <c r="B267" s="69"/>
      <c r="C267" s="240" t="s">
        <v>455</v>
      </c>
      <c r="D267" s="240"/>
      <c r="E267" s="241"/>
      <c r="F267" s="70"/>
      <c r="G267" s="71"/>
      <c r="H267" s="71"/>
      <c r="I267" s="71"/>
      <c r="J267" s="240" t="s">
        <v>207</v>
      </c>
      <c r="K267" s="241"/>
      <c r="L267" s="49">
        <v>4065000</v>
      </c>
      <c r="M267" s="49">
        <v>0</v>
      </c>
      <c r="N267" s="49"/>
      <c r="O267" s="49"/>
      <c r="P267" s="49"/>
      <c r="Q267" s="49">
        <f>SUM(N267:P267)</f>
        <v>0</v>
      </c>
      <c r="R267" s="72"/>
      <c r="S267" s="49">
        <f>M267-Q267</f>
        <v>0</v>
      </c>
      <c r="T267" s="49">
        <v>0</v>
      </c>
      <c r="U267" s="49">
        <f>T267+M267</f>
        <v>0</v>
      </c>
      <c r="V267" s="49">
        <f>T267+S267</f>
        <v>0</v>
      </c>
      <c r="W267" s="49"/>
      <c r="X267" s="49"/>
      <c r="Y267" s="49"/>
      <c r="Z267" s="49"/>
      <c r="AA267" s="49">
        <v>4065000</v>
      </c>
      <c r="AB267" s="49">
        <v>4065000</v>
      </c>
      <c r="AC267" s="49">
        <f t="shared" si="81"/>
        <v>0</v>
      </c>
      <c r="AD267" s="49">
        <f>AA267+T267+M267</f>
        <v>4065000</v>
      </c>
      <c r="AE267" s="49"/>
      <c r="AF267" s="49"/>
      <c r="AG267" s="49"/>
      <c r="AH267" s="49">
        <v>3970000</v>
      </c>
      <c r="AI267" s="49"/>
      <c r="AJ267" s="49"/>
      <c r="AK267" s="49">
        <f>Z267+Y267+X267+W267+N267+AG267+AJ267+AI267+AH267</f>
        <v>3970000</v>
      </c>
      <c r="AL267" s="49">
        <f>AK267/AD267*100</f>
        <v>97.662976629766291</v>
      </c>
      <c r="AM267" s="49"/>
      <c r="AN267" s="49"/>
      <c r="AO267" s="49"/>
      <c r="AP267" s="49"/>
      <c r="AQ267" s="49">
        <f>AK267+AM267+AN267+AO267+AP267</f>
        <v>3970000</v>
      </c>
      <c r="AR267" s="49">
        <f>AQ267/AB267*100</f>
        <v>97.662976629766291</v>
      </c>
      <c r="AS267" s="49">
        <f>AB267-AQ267</f>
        <v>95000</v>
      </c>
      <c r="AT267" s="49">
        <v>3091500</v>
      </c>
      <c r="AU267" s="49">
        <f>AT267+U267</f>
        <v>3091500</v>
      </c>
      <c r="AV267" s="49">
        <f>AK267</f>
        <v>3970000</v>
      </c>
      <c r="AW267" s="72">
        <f>AV267/AU267*100</f>
        <v>128.41662623322011</v>
      </c>
      <c r="AX267" s="49">
        <f>AU267-AV267</f>
        <v>-878500</v>
      </c>
      <c r="AY267" s="49">
        <f>AS267/AB267*100</f>
        <v>2.3370233702337022</v>
      </c>
      <c r="AZ267" s="73">
        <f t="shared" si="79"/>
        <v>3970000</v>
      </c>
      <c r="BA267" s="73"/>
    </row>
    <row r="268" spans="1:53" ht="20.100000000000001" hidden="1" customHeight="1">
      <c r="A268" s="68"/>
      <c r="B268" s="69"/>
      <c r="C268" s="240" t="s">
        <v>456</v>
      </c>
      <c r="D268" s="240"/>
      <c r="E268" s="241"/>
      <c r="F268" s="70"/>
      <c r="G268" s="71"/>
      <c r="H268" s="71"/>
      <c r="I268" s="240" t="s">
        <v>402</v>
      </c>
      <c r="J268" s="240"/>
      <c r="K268" s="241"/>
      <c r="L268" s="49"/>
      <c r="M268" s="49"/>
      <c r="N268" s="49"/>
      <c r="O268" s="49"/>
      <c r="P268" s="49"/>
      <c r="Q268" s="49"/>
      <c r="R268" s="72"/>
      <c r="S268" s="49"/>
      <c r="T268" s="49"/>
      <c r="U268" s="49"/>
      <c r="V268" s="49"/>
      <c r="W268" s="49"/>
      <c r="X268" s="49"/>
      <c r="Y268" s="49"/>
      <c r="Z268" s="49"/>
      <c r="AA268" s="49"/>
      <c r="AB268" s="49"/>
      <c r="AC268" s="49">
        <f t="shared" si="81"/>
        <v>0</v>
      </c>
      <c r="AD268" s="49"/>
      <c r="AE268" s="49"/>
      <c r="AF268" s="49"/>
      <c r="AG268" s="49"/>
      <c r="AH268" s="49"/>
      <c r="AI268" s="49"/>
      <c r="AJ268" s="49"/>
      <c r="AK268" s="49"/>
      <c r="AL268" s="49"/>
      <c r="AM268" s="49"/>
      <c r="AN268" s="49"/>
      <c r="AO268" s="49"/>
      <c r="AP268" s="49"/>
      <c r="AQ268" s="49"/>
      <c r="AR268" s="49"/>
      <c r="AS268" s="49"/>
      <c r="AT268" s="49"/>
      <c r="AU268" s="49"/>
      <c r="AV268" s="49"/>
      <c r="AW268" s="49"/>
      <c r="AX268" s="49"/>
      <c r="AY268" s="49"/>
      <c r="AZ268" s="73">
        <f t="shared" si="79"/>
        <v>0</v>
      </c>
      <c r="BA268" s="73"/>
    </row>
    <row r="269" spans="1:53" ht="20.100000000000001" hidden="1" customHeight="1">
      <c r="A269" s="68"/>
      <c r="B269" s="69"/>
      <c r="C269" s="240" t="s">
        <v>457</v>
      </c>
      <c r="D269" s="240"/>
      <c r="E269" s="241"/>
      <c r="F269" s="70"/>
      <c r="G269" s="71"/>
      <c r="H269" s="71"/>
      <c r="I269" s="71"/>
      <c r="J269" s="240" t="s">
        <v>404</v>
      </c>
      <c r="K269" s="241"/>
      <c r="L269" s="49">
        <v>18000000</v>
      </c>
      <c r="M269" s="49">
        <v>0</v>
      </c>
      <c r="N269" s="49"/>
      <c r="O269" s="49"/>
      <c r="P269" s="49"/>
      <c r="Q269" s="49">
        <f>SUM(N269:P269)</f>
        <v>0</v>
      </c>
      <c r="R269" s="72"/>
      <c r="S269" s="49">
        <f>M269-Q269</f>
        <v>0</v>
      </c>
      <c r="T269" s="49">
        <v>0</v>
      </c>
      <c r="U269" s="49">
        <f>T269+M269</f>
        <v>0</v>
      </c>
      <c r="V269" s="49">
        <f>T269+S269</f>
        <v>0</v>
      </c>
      <c r="W269" s="49"/>
      <c r="X269" s="49"/>
      <c r="Y269" s="49"/>
      <c r="Z269" s="49"/>
      <c r="AA269" s="49">
        <v>18000000</v>
      </c>
      <c r="AB269" s="49">
        <v>18000000</v>
      </c>
      <c r="AC269" s="49">
        <f t="shared" si="81"/>
        <v>0</v>
      </c>
      <c r="AD269" s="49">
        <f>AA269+T269+M269</f>
        <v>18000000</v>
      </c>
      <c r="AE269" s="49"/>
      <c r="AF269" s="49"/>
      <c r="AG269" s="49"/>
      <c r="AH269" s="49">
        <v>16200000</v>
      </c>
      <c r="AI269" s="49"/>
      <c r="AJ269" s="49"/>
      <c r="AK269" s="49">
        <f>Z269+Y269+X269+W269+N269+AG269+AJ269+AI269+AH269</f>
        <v>16200000</v>
      </c>
      <c r="AL269" s="49">
        <f>AK269/AD269*100</f>
        <v>90</v>
      </c>
      <c r="AM269" s="49"/>
      <c r="AN269" s="49"/>
      <c r="AO269" s="49"/>
      <c r="AP269" s="49"/>
      <c r="AQ269" s="49">
        <f>AK269+AM269+AN269+AO269+AP269</f>
        <v>16200000</v>
      </c>
      <c r="AR269" s="49">
        <f>AQ269/AB269*100</f>
        <v>90</v>
      </c>
      <c r="AS269" s="49">
        <f>AB269-AQ269</f>
        <v>1800000</v>
      </c>
      <c r="AT269" s="49">
        <v>3091500</v>
      </c>
      <c r="AU269" s="49">
        <f>AT269+U269</f>
        <v>3091500</v>
      </c>
      <c r="AV269" s="49">
        <f>AK269</f>
        <v>16200000</v>
      </c>
      <c r="AW269" s="72">
        <f>AV269/AU269*100</f>
        <v>524.01746724890825</v>
      </c>
      <c r="AX269" s="49">
        <f>AU269-AV269</f>
        <v>-13108500</v>
      </c>
      <c r="AY269" s="49">
        <f>AS269/AB269*100</f>
        <v>10</v>
      </c>
      <c r="AZ269" s="73">
        <f t="shared" si="79"/>
        <v>16200000</v>
      </c>
      <c r="BA269" s="73"/>
    </row>
    <row r="270" spans="1:53" ht="20.100000000000001" customHeight="1">
      <c r="A270" s="60" t="s">
        <v>458</v>
      </c>
      <c r="B270" s="75"/>
      <c r="C270" s="247" t="s">
        <v>459</v>
      </c>
      <c r="D270" s="247"/>
      <c r="E270" s="248"/>
      <c r="F270" s="249" t="s">
        <v>460</v>
      </c>
      <c r="G270" s="250"/>
      <c r="H270" s="250"/>
      <c r="I270" s="250"/>
      <c r="J270" s="250"/>
      <c r="K270" s="251"/>
      <c r="L270" s="48">
        <f>L271</f>
        <v>50000000</v>
      </c>
      <c r="M270" s="48">
        <f>M271</f>
        <v>0</v>
      </c>
      <c r="N270" s="48">
        <f>N271</f>
        <v>0</v>
      </c>
      <c r="O270" s="48">
        <f>O271</f>
        <v>0</v>
      </c>
      <c r="P270" s="48">
        <f>P271</f>
        <v>0</v>
      </c>
      <c r="Q270" s="48">
        <f>SUM(N270:P270)</f>
        <v>0</v>
      </c>
      <c r="R270" s="61"/>
      <c r="S270" s="48">
        <f>M270-Q270</f>
        <v>0</v>
      </c>
      <c r="T270" s="48">
        <f>T271</f>
        <v>0</v>
      </c>
      <c r="U270" s="48">
        <f>T270+M270</f>
        <v>0</v>
      </c>
      <c r="V270" s="48">
        <f>T270+S270</f>
        <v>0</v>
      </c>
      <c r="W270" s="48">
        <f>W271</f>
        <v>0</v>
      </c>
      <c r="X270" s="48">
        <f>X271</f>
        <v>0</v>
      </c>
      <c r="Y270" s="48">
        <f>Y271</f>
        <v>0</v>
      </c>
      <c r="Z270" s="48"/>
      <c r="AA270" s="48">
        <f>AA271</f>
        <v>50000000</v>
      </c>
      <c r="AB270" s="48">
        <f>AB271</f>
        <v>50000000</v>
      </c>
      <c r="AC270" s="48">
        <f t="shared" si="81"/>
        <v>0</v>
      </c>
      <c r="AD270" s="48">
        <f>AA270+T270+M270</f>
        <v>50000000</v>
      </c>
      <c r="AE270" s="48">
        <f t="shared" ref="AE270:AK270" si="83">AE271</f>
        <v>0</v>
      </c>
      <c r="AF270" s="48">
        <f t="shared" si="83"/>
        <v>0</v>
      </c>
      <c r="AG270" s="48">
        <f t="shared" si="83"/>
        <v>0</v>
      </c>
      <c r="AH270" s="48">
        <f t="shared" si="83"/>
        <v>0</v>
      </c>
      <c r="AI270" s="48">
        <f t="shared" si="83"/>
        <v>0</v>
      </c>
      <c r="AJ270" s="48">
        <f t="shared" si="83"/>
        <v>35728000</v>
      </c>
      <c r="AK270" s="48">
        <f t="shared" si="83"/>
        <v>35728000</v>
      </c>
      <c r="AL270" s="48">
        <f>AK270/AB270*100</f>
        <v>71.456000000000003</v>
      </c>
      <c r="AM270" s="48">
        <f>AM271</f>
        <v>0</v>
      </c>
      <c r="AN270" s="48">
        <f>AN271</f>
        <v>11334900</v>
      </c>
      <c r="AO270" s="48">
        <f>AO271</f>
        <v>0</v>
      </c>
      <c r="AP270" s="48">
        <f>AP271</f>
        <v>0</v>
      </c>
      <c r="AQ270" s="48">
        <f>AK270+AM270+AN270+AO270+AP270</f>
        <v>47062900</v>
      </c>
      <c r="AR270" s="48">
        <f>AQ270/AB270*100</f>
        <v>94.125799999999998</v>
      </c>
      <c r="AS270" s="48">
        <f>AB270-AQ270</f>
        <v>2937100</v>
      </c>
      <c r="AT270" s="48">
        <v>120767500</v>
      </c>
      <c r="AU270" s="48">
        <f>AT270+U270</f>
        <v>120767500</v>
      </c>
      <c r="AV270" s="48">
        <f>AK270</f>
        <v>35728000</v>
      </c>
      <c r="AW270" s="61">
        <f>AV270/AU270*100</f>
        <v>29.584118243732792</v>
      </c>
      <c r="AX270" s="48">
        <f>AU270-AV270</f>
        <v>85039500</v>
      </c>
      <c r="AY270" s="48">
        <f>AS270/AB270*100</f>
        <v>5.8742000000000001</v>
      </c>
      <c r="AZ270" s="73">
        <f t="shared" si="79"/>
        <v>47062900</v>
      </c>
    </row>
    <row r="271" spans="1:53" ht="20.100000000000001" customHeight="1">
      <c r="A271" s="62">
        <v>20</v>
      </c>
      <c r="B271" s="63"/>
      <c r="C271" s="242" t="s">
        <v>461</v>
      </c>
      <c r="D271" s="242"/>
      <c r="E271" s="243"/>
      <c r="F271" s="64"/>
      <c r="G271" s="244" t="s">
        <v>462</v>
      </c>
      <c r="H271" s="244"/>
      <c r="I271" s="244"/>
      <c r="J271" s="244"/>
      <c r="K271" s="245"/>
      <c r="L271" s="65">
        <f>SUM(L274:L289)</f>
        <v>50000000</v>
      </c>
      <c r="M271" s="65">
        <f>SUM(M274:M289)</f>
        <v>0</v>
      </c>
      <c r="N271" s="65">
        <f>SUM(N274:N289)</f>
        <v>0</v>
      </c>
      <c r="O271" s="65">
        <f>SUM(O274:O289)</f>
        <v>0</v>
      </c>
      <c r="P271" s="65">
        <f>SUM(P274:P289)</f>
        <v>0</v>
      </c>
      <c r="Q271" s="65">
        <f>SUM(N271:P271)</f>
        <v>0</v>
      </c>
      <c r="R271" s="66"/>
      <c r="S271" s="65">
        <f>M271-Q271</f>
        <v>0</v>
      </c>
      <c r="T271" s="65">
        <f>SUM(T274:T289)</f>
        <v>0</v>
      </c>
      <c r="U271" s="65">
        <f>T271+M271</f>
        <v>0</v>
      </c>
      <c r="V271" s="65">
        <f>T271+S271</f>
        <v>0</v>
      </c>
      <c r="W271" s="65">
        <f>SUM(W274:W289)</f>
        <v>0</v>
      </c>
      <c r="X271" s="65">
        <f>SUM(X274:X289)</f>
        <v>0</v>
      </c>
      <c r="Y271" s="65">
        <f>SUM(Y274:Y289)</f>
        <v>0</v>
      </c>
      <c r="Z271" s="65"/>
      <c r="AA271" s="65">
        <f>SUM(AA274:AA289)</f>
        <v>50000000</v>
      </c>
      <c r="AB271" s="65">
        <f>SUM(AB274:AB289)</f>
        <v>50000000</v>
      </c>
      <c r="AC271" s="65">
        <f t="shared" si="81"/>
        <v>0</v>
      </c>
      <c r="AD271" s="65">
        <f>AA271+T271+M271</f>
        <v>50000000</v>
      </c>
      <c r="AE271" s="65">
        <f t="shared" ref="AE271:AK271" si="84">SUM(AE274:AE289)</f>
        <v>0</v>
      </c>
      <c r="AF271" s="65">
        <f t="shared" si="84"/>
        <v>0</v>
      </c>
      <c r="AG271" s="65">
        <f t="shared" si="84"/>
        <v>0</v>
      </c>
      <c r="AH271" s="65">
        <f t="shared" si="84"/>
        <v>0</v>
      </c>
      <c r="AI271" s="65">
        <f t="shared" si="84"/>
        <v>0</v>
      </c>
      <c r="AJ271" s="65">
        <f t="shared" si="84"/>
        <v>35728000</v>
      </c>
      <c r="AK271" s="65">
        <f t="shared" si="84"/>
        <v>35728000</v>
      </c>
      <c r="AL271" s="65">
        <f>AK271/AB271*100</f>
        <v>71.456000000000003</v>
      </c>
      <c r="AM271" s="65">
        <f>SUM(AM274:AM289)</f>
        <v>0</v>
      </c>
      <c r="AN271" s="65">
        <f>SUM(AN274:AN289)</f>
        <v>11334900</v>
      </c>
      <c r="AO271" s="65">
        <f>SUM(AO274:AO289)</f>
        <v>0</v>
      </c>
      <c r="AP271" s="65">
        <f>SUM(AP274:AP289)</f>
        <v>0</v>
      </c>
      <c r="AQ271" s="65">
        <f>AK271+AM271+AN271+AO271+AP271</f>
        <v>47062900</v>
      </c>
      <c r="AR271" s="65">
        <f>AQ271/AB271*100</f>
        <v>94.125799999999998</v>
      </c>
      <c r="AS271" s="65">
        <f>AB271-AQ271</f>
        <v>2937100</v>
      </c>
      <c r="AT271" s="65">
        <f>SUM(AT274:AT280)</f>
        <v>12366000</v>
      </c>
      <c r="AU271" s="65">
        <f>AT271+U271</f>
        <v>12366000</v>
      </c>
      <c r="AV271" s="65">
        <f>AK271</f>
        <v>35728000</v>
      </c>
      <c r="AW271" s="66">
        <f>AV271/AU271*100</f>
        <v>288.92123564612643</v>
      </c>
      <c r="AX271" s="65">
        <f>AU271-AV271</f>
        <v>-23362000</v>
      </c>
      <c r="AY271" s="65">
        <f>AS271/AB271*100</f>
        <v>5.8742000000000001</v>
      </c>
      <c r="AZ271" s="67">
        <f t="shared" si="79"/>
        <v>47062900</v>
      </c>
      <c r="BA271" s="29">
        <f>AS271</f>
        <v>2937100</v>
      </c>
    </row>
    <row r="272" spans="1:53" ht="20.100000000000001" hidden="1" customHeight="1">
      <c r="A272" s="68"/>
      <c r="B272" s="69"/>
      <c r="C272" s="240" t="s">
        <v>463</v>
      </c>
      <c r="D272" s="240"/>
      <c r="E272" s="241"/>
      <c r="F272" s="70"/>
      <c r="G272" s="71"/>
      <c r="H272" s="240" t="s">
        <v>10</v>
      </c>
      <c r="I272" s="240"/>
      <c r="J272" s="240"/>
      <c r="K272" s="241"/>
      <c r="L272" s="49"/>
      <c r="M272" s="49"/>
      <c r="N272" s="49"/>
      <c r="O272" s="49"/>
      <c r="P272" s="49"/>
      <c r="Q272" s="49"/>
      <c r="R272" s="72"/>
      <c r="S272" s="49"/>
      <c r="T272" s="49"/>
      <c r="U272" s="49"/>
      <c r="V272" s="49"/>
      <c r="W272" s="49"/>
      <c r="X272" s="49"/>
      <c r="Y272" s="49"/>
      <c r="Z272" s="49"/>
      <c r="AA272" s="49"/>
      <c r="AB272" s="49"/>
      <c r="AC272" s="49">
        <f t="shared" si="81"/>
        <v>0</v>
      </c>
      <c r="AD272" s="49"/>
      <c r="AE272" s="49"/>
      <c r="AF272" s="49"/>
      <c r="AG272" s="49"/>
      <c r="AH272" s="49"/>
      <c r="AI272" s="49"/>
      <c r="AJ272" s="49"/>
      <c r="AK272" s="49"/>
      <c r="AL272" s="49"/>
      <c r="AM272" s="49"/>
      <c r="AN272" s="49"/>
      <c r="AO272" s="49"/>
      <c r="AP272" s="49"/>
      <c r="AQ272" s="49"/>
      <c r="AR272" s="49"/>
      <c r="AS272" s="49"/>
      <c r="AT272" s="49"/>
      <c r="AU272" s="49"/>
      <c r="AV272" s="49"/>
      <c r="AW272" s="49"/>
      <c r="AX272" s="49"/>
      <c r="AY272" s="49"/>
      <c r="AZ272" s="73">
        <f t="shared" si="79"/>
        <v>0</v>
      </c>
    </row>
    <row r="273" spans="1:52" ht="20.100000000000001" hidden="1" customHeight="1">
      <c r="A273" s="68"/>
      <c r="B273" s="69"/>
      <c r="C273" s="240" t="s">
        <v>464</v>
      </c>
      <c r="D273" s="240"/>
      <c r="E273" s="241"/>
      <c r="F273" s="70"/>
      <c r="G273" s="71"/>
      <c r="H273" s="71"/>
      <c r="I273" s="240" t="s">
        <v>177</v>
      </c>
      <c r="J273" s="240"/>
      <c r="K273" s="241"/>
      <c r="L273" s="49"/>
      <c r="M273" s="49"/>
      <c r="N273" s="49"/>
      <c r="O273" s="49"/>
      <c r="P273" s="49"/>
      <c r="Q273" s="49"/>
      <c r="R273" s="72"/>
      <c r="S273" s="49"/>
      <c r="T273" s="49"/>
      <c r="U273" s="49"/>
      <c r="V273" s="49"/>
      <c r="W273" s="49"/>
      <c r="X273" s="49"/>
      <c r="Y273" s="49"/>
      <c r="Z273" s="49"/>
      <c r="AA273" s="49"/>
      <c r="AB273" s="49"/>
      <c r="AC273" s="49">
        <f t="shared" si="81"/>
        <v>0</v>
      </c>
      <c r="AD273" s="49"/>
      <c r="AE273" s="49"/>
      <c r="AF273" s="49"/>
      <c r="AG273" s="49"/>
      <c r="AH273" s="49"/>
      <c r="AI273" s="49"/>
      <c r="AJ273" s="49"/>
      <c r="AK273" s="49"/>
      <c r="AL273" s="49"/>
      <c r="AM273" s="49"/>
      <c r="AN273" s="49"/>
      <c r="AO273" s="49"/>
      <c r="AP273" s="49"/>
      <c r="AQ273" s="49"/>
      <c r="AR273" s="49"/>
      <c r="AS273" s="49"/>
      <c r="AT273" s="49"/>
      <c r="AU273" s="49"/>
      <c r="AV273" s="49"/>
      <c r="AW273" s="49"/>
      <c r="AX273" s="49"/>
      <c r="AY273" s="49"/>
      <c r="AZ273" s="73">
        <f t="shared" si="79"/>
        <v>0</v>
      </c>
    </row>
    <row r="274" spans="1:52" ht="20.100000000000001" hidden="1" customHeight="1">
      <c r="A274" s="68"/>
      <c r="B274" s="69"/>
      <c r="C274" s="240" t="s">
        <v>465</v>
      </c>
      <c r="D274" s="240"/>
      <c r="E274" s="241"/>
      <c r="F274" s="70"/>
      <c r="G274" s="71"/>
      <c r="H274" s="71"/>
      <c r="I274" s="71"/>
      <c r="J274" s="240" t="s">
        <v>283</v>
      </c>
      <c r="K274" s="241"/>
      <c r="L274" s="49">
        <v>1290000</v>
      </c>
      <c r="M274" s="49">
        <v>0</v>
      </c>
      <c r="N274" s="49"/>
      <c r="O274" s="49"/>
      <c r="P274" s="49"/>
      <c r="Q274" s="49">
        <f>SUM(N274:P274)</f>
        <v>0</v>
      </c>
      <c r="R274" s="72"/>
      <c r="S274" s="49">
        <f>M274-Q274</f>
        <v>0</v>
      </c>
      <c r="T274" s="49">
        <v>0</v>
      </c>
      <c r="U274" s="49">
        <f>T274+M274</f>
        <v>0</v>
      </c>
      <c r="V274" s="49">
        <f>T274+S274</f>
        <v>0</v>
      </c>
      <c r="W274" s="49"/>
      <c r="X274" s="49"/>
      <c r="Y274" s="49"/>
      <c r="Z274" s="49"/>
      <c r="AA274" s="49">
        <v>1290000</v>
      </c>
      <c r="AB274" s="49">
        <v>1290000</v>
      </c>
      <c r="AC274" s="49">
        <f t="shared" si="81"/>
        <v>0</v>
      </c>
      <c r="AD274" s="49">
        <f>AA274+T274+M274</f>
        <v>1290000</v>
      </c>
      <c r="AE274" s="49"/>
      <c r="AF274" s="49"/>
      <c r="AG274" s="49"/>
      <c r="AH274" s="49"/>
      <c r="AI274" s="49"/>
      <c r="AJ274" s="49"/>
      <c r="AK274" s="49">
        <f>Z274+Y274+X274+W274+N274+AG274+AJ274+AI274+AH274</f>
        <v>0</v>
      </c>
      <c r="AL274" s="49">
        <f>AK274/AD274*100</f>
        <v>0</v>
      </c>
      <c r="AM274" s="49"/>
      <c r="AN274" s="42">
        <v>1290000</v>
      </c>
      <c r="AO274" s="49"/>
      <c r="AP274" s="49"/>
      <c r="AQ274" s="49">
        <f>AK274+AM274+AN274+AO274+AP274</f>
        <v>1290000</v>
      </c>
      <c r="AR274" s="49">
        <f>AQ274/AB274*100</f>
        <v>100</v>
      </c>
      <c r="AS274" s="49">
        <f>AB274-AQ274</f>
        <v>0</v>
      </c>
      <c r="AT274" s="49">
        <v>3091500</v>
      </c>
      <c r="AU274" s="49">
        <f>AT274+U274</f>
        <v>3091500</v>
      </c>
      <c r="AV274" s="49">
        <f>AK274</f>
        <v>0</v>
      </c>
      <c r="AW274" s="72">
        <f>AV274/AU274*100</f>
        <v>0</v>
      </c>
      <c r="AX274" s="49">
        <f>AU274-AV274</f>
        <v>3091500</v>
      </c>
      <c r="AY274" s="49">
        <f>AS274/AB274*100</f>
        <v>0</v>
      </c>
      <c r="AZ274" s="73">
        <f t="shared" si="79"/>
        <v>1290000</v>
      </c>
    </row>
    <row r="275" spans="1:52" ht="20.100000000000001" hidden="1" customHeight="1">
      <c r="A275" s="68"/>
      <c r="B275" s="69"/>
      <c r="C275" s="240" t="s">
        <v>466</v>
      </c>
      <c r="D275" s="240"/>
      <c r="E275" s="241"/>
      <c r="F275" s="70"/>
      <c r="G275" s="71"/>
      <c r="H275" s="240" t="s">
        <v>143</v>
      </c>
      <c r="I275" s="240"/>
      <c r="J275" s="240"/>
      <c r="K275" s="241"/>
      <c r="L275" s="49"/>
      <c r="M275" s="49"/>
      <c r="N275" s="49"/>
      <c r="O275" s="49"/>
      <c r="P275" s="49"/>
      <c r="Q275" s="49"/>
      <c r="R275" s="72"/>
      <c r="S275" s="49"/>
      <c r="T275" s="49"/>
      <c r="U275" s="49"/>
      <c r="V275" s="49"/>
      <c r="W275" s="49"/>
      <c r="X275" s="49"/>
      <c r="Y275" s="49"/>
      <c r="Z275" s="49"/>
      <c r="AA275" s="49"/>
      <c r="AB275" s="49"/>
      <c r="AC275" s="49">
        <f t="shared" si="81"/>
        <v>0</v>
      </c>
      <c r="AD275" s="49"/>
      <c r="AE275" s="49"/>
      <c r="AF275" s="49"/>
      <c r="AG275" s="49"/>
      <c r="AH275" s="49"/>
      <c r="AI275" s="49"/>
      <c r="AJ275" s="49"/>
      <c r="AK275" s="49"/>
      <c r="AL275" s="49"/>
      <c r="AM275" s="49"/>
      <c r="AN275" s="49"/>
      <c r="AO275" s="49"/>
      <c r="AP275" s="49"/>
      <c r="AQ275" s="49"/>
      <c r="AR275" s="49"/>
      <c r="AS275" s="49"/>
      <c r="AT275" s="49"/>
      <c r="AU275" s="49"/>
      <c r="AV275" s="49"/>
      <c r="AW275" s="49"/>
      <c r="AX275" s="49"/>
      <c r="AY275" s="49"/>
      <c r="AZ275" s="73">
        <f t="shared" si="79"/>
        <v>0</v>
      </c>
    </row>
    <row r="276" spans="1:52" ht="20.100000000000001" hidden="1" customHeight="1">
      <c r="A276" s="68"/>
      <c r="B276" s="69"/>
      <c r="C276" s="240" t="s">
        <v>467</v>
      </c>
      <c r="D276" s="240"/>
      <c r="E276" s="241"/>
      <c r="F276" s="70"/>
      <c r="G276" s="71"/>
      <c r="H276" s="71"/>
      <c r="I276" s="240" t="s">
        <v>145</v>
      </c>
      <c r="J276" s="240"/>
      <c r="K276" s="241"/>
      <c r="L276" s="49"/>
      <c r="M276" s="49"/>
      <c r="N276" s="49"/>
      <c r="O276" s="49"/>
      <c r="P276" s="49"/>
      <c r="Q276" s="49"/>
      <c r="R276" s="72"/>
      <c r="S276" s="49"/>
      <c r="T276" s="49"/>
      <c r="U276" s="49"/>
      <c r="V276" s="49"/>
      <c r="W276" s="49"/>
      <c r="X276" s="49"/>
      <c r="Y276" s="49"/>
      <c r="Z276" s="49"/>
      <c r="AA276" s="49"/>
      <c r="AB276" s="49"/>
      <c r="AC276" s="49">
        <f t="shared" si="81"/>
        <v>0</v>
      </c>
      <c r="AD276" s="49"/>
      <c r="AE276" s="49"/>
      <c r="AF276" s="49"/>
      <c r="AG276" s="49"/>
      <c r="AH276" s="49"/>
      <c r="AI276" s="49"/>
      <c r="AJ276" s="49"/>
      <c r="AK276" s="49"/>
      <c r="AL276" s="49"/>
      <c r="AM276" s="49"/>
      <c r="AN276" s="49"/>
      <c r="AO276" s="49"/>
      <c r="AP276" s="49"/>
      <c r="AQ276" s="49"/>
      <c r="AR276" s="49"/>
      <c r="AS276" s="49"/>
      <c r="AT276" s="49"/>
      <c r="AU276" s="49"/>
      <c r="AV276" s="49"/>
      <c r="AW276" s="49"/>
      <c r="AX276" s="49"/>
      <c r="AY276" s="49"/>
      <c r="AZ276" s="73">
        <f t="shared" si="79"/>
        <v>0</v>
      </c>
    </row>
    <row r="277" spans="1:52" ht="20.100000000000001" hidden="1" customHeight="1">
      <c r="A277" s="68"/>
      <c r="B277" s="69"/>
      <c r="C277" s="240" t="s">
        <v>468</v>
      </c>
      <c r="D277" s="240"/>
      <c r="E277" s="241"/>
      <c r="F277" s="70"/>
      <c r="G277" s="71"/>
      <c r="H277" s="71"/>
      <c r="I277" s="71"/>
      <c r="J277" s="240" t="s">
        <v>147</v>
      </c>
      <c r="K277" s="241"/>
      <c r="L277" s="49">
        <v>405000</v>
      </c>
      <c r="M277" s="49">
        <v>0</v>
      </c>
      <c r="N277" s="49"/>
      <c r="O277" s="49"/>
      <c r="P277" s="49"/>
      <c r="Q277" s="49">
        <f>SUM(N277:P277)</f>
        <v>0</v>
      </c>
      <c r="R277" s="72"/>
      <c r="S277" s="49">
        <f>M277-Q277</f>
        <v>0</v>
      </c>
      <c r="T277" s="49">
        <v>0</v>
      </c>
      <c r="U277" s="49">
        <f>T277+M277</f>
        <v>0</v>
      </c>
      <c r="V277" s="49">
        <f>T277+S277</f>
        <v>0</v>
      </c>
      <c r="W277" s="49"/>
      <c r="X277" s="49"/>
      <c r="Y277" s="49"/>
      <c r="Z277" s="49"/>
      <c r="AA277" s="49">
        <v>405000</v>
      </c>
      <c r="AB277" s="49">
        <v>405000</v>
      </c>
      <c r="AC277" s="49">
        <f t="shared" si="81"/>
        <v>0</v>
      </c>
      <c r="AD277" s="49">
        <f>AA277+T277+M277</f>
        <v>405000</v>
      </c>
      <c r="AE277" s="49"/>
      <c r="AF277" s="49"/>
      <c r="AG277" s="49"/>
      <c r="AH277" s="49"/>
      <c r="AI277" s="49"/>
      <c r="AJ277" s="49"/>
      <c r="AK277" s="49">
        <f>Z277+Y277+X277+W277+N277+AG277+AJ277+AI277+AH277</f>
        <v>0</v>
      </c>
      <c r="AL277" s="49">
        <f>AK277/AD277*100</f>
        <v>0</v>
      </c>
      <c r="AM277" s="49"/>
      <c r="AN277" s="42">
        <v>404900</v>
      </c>
      <c r="AO277" s="49"/>
      <c r="AP277" s="49"/>
      <c r="AQ277" s="49">
        <f>AK277+AM277+AN277+AO277+AP277</f>
        <v>404900</v>
      </c>
      <c r="AR277" s="49">
        <f>AQ277/AB277*100</f>
        <v>99.975308641975317</v>
      </c>
      <c r="AS277" s="49">
        <f>AB277-AQ277</f>
        <v>100</v>
      </c>
      <c r="AT277" s="49">
        <v>3091500</v>
      </c>
      <c r="AU277" s="49">
        <f>AT277+U277</f>
        <v>3091500</v>
      </c>
      <c r="AV277" s="49">
        <f>AK277</f>
        <v>0</v>
      </c>
      <c r="AW277" s="72">
        <f>AV277/AU277*100</f>
        <v>0</v>
      </c>
      <c r="AX277" s="49">
        <f>AU277-AV277</f>
        <v>3091500</v>
      </c>
      <c r="AY277" s="49">
        <f>AS277/AB277*100</f>
        <v>2.469135802469136E-2</v>
      </c>
      <c r="AZ277" s="73">
        <f t="shared" si="79"/>
        <v>404900</v>
      </c>
    </row>
    <row r="278" spans="1:52" ht="20.100000000000001" hidden="1" customHeight="1">
      <c r="A278" s="68"/>
      <c r="B278" s="69"/>
      <c r="C278" s="240" t="s">
        <v>469</v>
      </c>
      <c r="D278" s="240"/>
      <c r="E278" s="241"/>
      <c r="F278" s="70"/>
      <c r="G278" s="71"/>
      <c r="H278" s="71"/>
      <c r="I278" s="240" t="s">
        <v>163</v>
      </c>
      <c r="J278" s="240"/>
      <c r="K278" s="241"/>
      <c r="L278" s="49"/>
      <c r="M278" s="49"/>
      <c r="N278" s="49"/>
      <c r="O278" s="49"/>
      <c r="P278" s="49"/>
      <c r="Q278" s="49"/>
      <c r="R278" s="72"/>
      <c r="S278" s="49"/>
      <c r="T278" s="49"/>
      <c r="U278" s="49"/>
      <c r="V278" s="49"/>
      <c r="W278" s="49"/>
      <c r="X278" s="49"/>
      <c r="Y278" s="49"/>
      <c r="Z278" s="49"/>
      <c r="AA278" s="49"/>
      <c r="AB278" s="49"/>
      <c r="AC278" s="49">
        <f t="shared" si="81"/>
        <v>0</v>
      </c>
      <c r="AD278" s="49"/>
      <c r="AE278" s="49"/>
      <c r="AF278" s="49"/>
      <c r="AG278" s="49"/>
      <c r="AH278" s="49"/>
      <c r="AI278" s="49"/>
      <c r="AJ278" s="49"/>
      <c r="AK278" s="49"/>
      <c r="AL278" s="49"/>
      <c r="AM278" s="49"/>
      <c r="AN278" s="49"/>
      <c r="AO278" s="49"/>
      <c r="AP278" s="49"/>
      <c r="AQ278" s="49"/>
      <c r="AR278" s="49"/>
      <c r="AS278" s="49"/>
      <c r="AT278" s="49"/>
      <c r="AU278" s="49"/>
      <c r="AV278" s="49"/>
      <c r="AW278" s="49"/>
      <c r="AX278" s="49"/>
      <c r="AY278" s="49"/>
      <c r="AZ278" s="73">
        <f t="shared" si="79"/>
        <v>0</v>
      </c>
    </row>
    <row r="279" spans="1:52" ht="20.100000000000001" hidden="1" customHeight="1">
      <c r="A279" s="68"/>
      <c r="B279" s="69"/>
      <c r="C279" s="240" t="s">
        <v>470</v>
      </c>
      <c r="D279" s="240"/>
      <c r="E279" s="241"/>
      <c r="F279" s="70"/>
      <c r="G279" s="71"/>
      <c r="H279" s="71"/>
      <c r="I279" s="71"/>
      <c r="J279" s="240" t="s">
        <v>447</v>
      </c>
      <c r="K279" s="241"/>
      <c r="L279" s="49">
        <v>41025000</v>
      </c>
      <c r="M279" s="49">
        <v>0</v>
      </c>
      <c r="N279" s="49"/>
      <c r="O279" s="49"/>
      <c r="P279" s="49"/>
      <c r="Q279" s="49">
        <f>SUM(N279:P279)</f>
        <v>0</v>
      </c>
      <c r="R279" s="72"/>
      <c r="S279" s="49">
        <f>M279-Q279</f>
        <v>0</v>
      </c>
      <c r="T279" s="49">
        <v>0</v>
      </c>
      <c r="U279" s="49">
        <f>T279+M279</f>
        <v>0</v>
      </c>
      <c r="V279" s="49">
        <f>T279+S279</f>
        <v>0</v>
      </c>
      <c r="W279" s="49"/>
      <c r="X279" s="49"/>
      <c r="Y279" s="49"/>
      <c r="Z279" s="49"/>
      <c r="AA279" s="49">
        <v>41025000</v>
      </c>
      <c r="AB279" s="49">
        <v>41025000</v>
      </c>
      <c r="AC279" s="49">
        <f t="shared" si="81"/>
        <v>0</v>
      </c>
      <c r="AD279" s="49">
        <f>AA279+T279+M279</f>
        <v>41025000</v>
      </c>
      <c r="AE279" s="49"/>
      <c r="AF279" s="49"/>
      <c r="AG279" s="49"/>
      <c r="AH279" s="49"/>
      <c r="AI279" s="49"/>
      <c r="AJ279" s="49">
        <v>35728000</v>
      </c>
      <c r="AK279" s="49">
        <f>Z279+Y279+X279+W279+N279+AG279+AJ279+AI279+AH279</f>
        <v>35728000</v>
      </c>
      <c r="AL279" s="49">
        <f>AK279/AD279*100</f>
        <v>87.088360755636813</v>
      </c>
      <c r="AM279" s="49"/>
      <c r="AN279" s="42">
        <v>2520000</v>
      </c>
      <c r="AO279" s="49"/>
      <c r="AP279" s="49"/>
      <c r="AQ279" s="49">
        <f>AK279+AM279+AN279+AO279+AP279</f>
        <v>38248000</v>
      </c>
      <c r="AR279" s="49">
        <f>AQ279/AB279*100</f>
        <v>93.23095673369896</v>
      </c>
      <c r="AS279" s="49">
        <f>AB279-AQ279</f>
        <v>2777000</v>
      </c>
      <c r="AT279" s="49">
        <v>3091500</v>
      </c>
      <c r="AU279" s="49">
        <f>AT279+U279</f>
        <v>3091500</v>
      </c>
      <c r="AV279" s="49">
        <f>AK279</f>
        <v>35728000</v>
      </c>
      <c r="AW279" s="72">
        <f>AV279/AU279*100</f>
        <v>1155.6849425845057</v>
      </c>
      <c r="AX279" s="49">
        <f>AU279-AV279</f>
        <v>-32636500</v>
      </c>
      <c r="AY279" s="49">
        <f>AS279/AB279*100</f>
        <v>6.7690432663010363</v>
      </c>
      <c r="AZ279" s="73">
        <f t="shared" si="79"/>
        <v>38248000</v>
      </c>
    </row>
    <row r="280" spans="1:52" ht="20.100000000000001" hidden="1" customHeight="1">
      <c r="A280" s="68"/>
      <c r="B280" s="69"/>
      <c r="C280" s="240" t="s">
        <v>471</v>
      </c>
      <c r="D280" s="240"/>
      <c r="E280" s="241"/>
      <c r="F280" s="70"/>
      <c r="G280" s="71"/>
      <c r="H280" s="71"/>
      <c r="I280" s="71"/>
      <c r="J280" s="240" t="s">
        <v>352</v>
      </c>
      <c r="K280" s="241"/>
      <c r="L280" s="49">
        <v>600000</v>
      </c>
      <c r="M280" s="49">
        <v>0</v>
      </c>
      <c r="N280" s="49"/>
      <c r="O280" s="49"/>
      <c r="P280" s="49"/>
      <c r="Q280" s="49">
        <f>SUM(N280:P280)</f>
        <v>0</v>
      </c>
      <c r="R280" s="72"/>
      <c r="S280" s="49">
        <f>M280-Q280</f>
        <v>0</v>
      </c>
      <c r="T280" s="49">
        <v>0</v>
      </c>
      <c r="U280" s="49">
        <f>T280+M280</f>
        <v>0</v>
      </c>
      <c r="V280" s="49">
        <f>T280+S280</f>
        <v>0</v>
      </c>
      <c r="W280" s="49"/>
      <c r="X280" s="49"/>
      <c r="Y280" s="49"/>
      <c r="Z280" s="49"/>
      <c r="AA280" s="49">
        <v>600000</v>
      </c>
      <c r="AB280" s="49">
        <v>600000</v>
      </c>
      <c r="AC280" s="49">
        <f t="shared" si="81"/>
        <v>0</v>
      </c>
      <c r="AD280" s="49">
        <f>AA280+T280+M280</f>
        <v>600000</v>
      </c>
      <c r="AE280" s="49"/>
      <c r="AF280" s="49"/>
      <c r="AG280" s="49"/>
      <c r="AH280" s="49"/>
      <c r="AI280" s="49"/>
      <c r="AJ280" s="49"/>
      <c r="AK280" s="49">
        <f>Z280+Y280+X280+W280+N280+AG280+AJ280+AI280+AH280</f>
        <v>0</v>
      </c>
      <c r="AL280" s="49">
        <f>AK280/AD280*100</f>
        <v>0</v>
      </c>
      <c r="AM280" s="49"/>
      <c r="AN280" s="42">
        <v>600000</v>
      </c>
      <c r="AO280" s="49"/>
      <c r="AP280" s="49"/>
      <c r="AQ280" s="49">
        <f>AK280+AM280+AN280+AO280+AP280</f>
        <v>600000</v>
      </c>
      <c r="AR280" s="49">
        <f>AQ280/AB280*100</f>
        <v>100</v>
      </c>
      <c r="AS280" s="49">
        <f>AB280-AQ280</f>
        <v>0</v>
      </c>
      <c r="AT280" s="49">
        <v>3091500</v>
      </c>
      <c r="AU280" s="49">
        <f>AT280+U280</f>
        <v>3091500</v>
      </c>
      <c r="AV280" s="49">
        <f>AK280</f>
        <v>0</v>
      </c>
      <c r="AW280" s="72">
        <f>AV280/AU280*100</f>
        <v>0</v>
      </c>
      <c r="AX280" s="49">
        <f>AU280-AV280</f>
        <v>3091500</v>
      </c>
      <c r="AY280" s="49">
        <f>AS280/AB280*100</f>
        <v>0</v>
      </c>
      <c r="AZ280" s="73">
        <f t="shared" si="79"/>
        <v>600000</v>
      </c>
    </row>
    <row r="281" spans="1:52" ht="20.100000000000001" hidden="1" customHeight="1">
      <c r="A281" s="68"/>
      <c r="B281" s="69"/>
      <c r="C281" s="240" t="s">
        <v>472</v>
      </c>
      <c r="D281" s="240"/>
      <c r="E281" s="241"/>
      <c r="F281" s="70"/>
      <c r="G281" s="71"/>
      <c r="H281" s="71"/>
      <c r="I281" s="240" t="s">
        <v>151</v>
      </c>
      <c r="J281" s="240"/>
      <c r="K281" s="241"/>
      <c r="L281" s="49"/>
      <c r="M281" s="49"/>
      <c r="N281" s="49"/>
      <c r="O281" s="49"/>
      <c r="P281" s="49"/>
      <c r="Q281" s="49"/>
      <c r="R281" s="72"/>
      <c r="S281" s="49"/>
      <c r="T281" s="49"/>
      <c r="U281" s="49"/>
      <c r="V281" s="49"/>
      <c r="W281" s="49"/>
      <c r="X281" s="49"/>
      <c r="Y281" s="49"/>
      <c r="Z281" s="49"/>
      <c r="AA281" s="49"/>
      <c r="AB281" s="49"/>
      <c r="AC281" s="49">
        <f t="shared" si="81"/>
        <v>0</v>
      </c>
      <c r="AD281" s="49"/>
      <c r="AE281" s="49"/>
      <c r="AF281" s="49"/>
      <c r="AG281" s="49"/>
      <c r="AH281" s="49"/>
      <c r="AI281" s="49"/>
      <c r="AJ281" s="49"/>
      <c r="AK281" s="49"/>
      <c r="AL281" s="49"/>
      <c r="AM281" s="49"/>
      <c r="AN281" s="49"/>
      <c r="AO281" s="49"/>
      <c r="AP281" s="49"/>
      <c r="AQ281" s="49"/>
      <c r="AR281" s="49"/>
      <c r="AS281" s="49"/>
      <c r="AT281" s="49"/>
      <c r="AU281" s="49"/>
      <c r="AV281" s="49"/>
      <c r="AW281" s="49"/>
      <c r="AX281" s="49"/>
      <c r="AY281" s="49"/>
      <c r="AZ281" s="73">
        <f t="shared" si="79"/>
        <v>0</v>
      </c>
    </row>
    <row r="282" spans="1:52" ht="20.100000000000001" hidden="1" customHeight="1">
      <c r="A282" s="68"/>
      <c r="B282" s="69"/>
      <c r="C282" s="240" t="s">
        <v>473</v>
      </c>
      <c r="D282" s="240"/>
      <c r="E282" s="241"/>
      <c r="F282" s="70"/>
      <c r="G282" s="71"/>
      <c r="H282" s="71"/>
      <c r="I282" s="71"/>
      <c r="J282" s="240" t="s">
        <v>155</v>
      </c>
      <c r="K282" s="241"/>
      <c r="L282" s="49">
        <v>280000</v>
      </c>
      <c r="M282" s="49">
        <v>0</v>
      </c>
      <c r="N282" s="49"/>
      <c r="O282" s="49"/>
      <c r="P282" s="49"/>
      <c r="Q282" s="49">
        <f>SUM(N282:P282)</f>
        <v>0</v>
      </c>
      <c r="R282" s="72"/>
      <c r="S282" s="49">
        <f>M282-Q282</f>
        <v>0</v>
      </c>
      <c r="T282" s="49">
        <v>0</v>
      </c>
      <c r="U282" s="49">
        <f>T282+M282</f>
        <v>0</v>
      </c>
      <c r="V282" s="49">
        <f>T282+S282</f>
        <v>0</v>
      </c>
      <c r="W282" s="49"/>
      <c r="X282" s="49"/>
      <c r="Y282" s="49"/>
      <c r="Z282" s="49"/>
      <c r="AA282" s="49">
        <v>280000</v>
      </c>
      <c r="AB282" s="49">
        <v>280000</v>
      </c>
      <c r="AC282" s="49">
        <f t="shared" si="81"/>
        <v>0</v>
      </c>
      <c r="AD282" s="49">
        <f>AA282+T282+M282</f>
        <v>280000</v>
      </c>
      <c r="AE282" s="49"/>
      <c r="AF282" s="49"/>
      <c r="AG282" s="49"/>
      <c r="AH282" s="49"/>
      <c r="AI282" s="49"/>
      <c r="AJ282" s="49"/>
      <c r="AK282" s="49">
        <f>Z282+Y282+X282+W282+N282+AG282+AJ282+AI282+AH282</f>
        <v>0</v>
      </c>
      <c r="AL282" s="49">
        <f>AK282/AD282*100</f>
        <v>0</v>
      </c>
      <c r="AM282" s="49"/>
      <c r="AN282" s="42">
        <v>280000</v>
      </c>
      <c r="AO282" s="49"/>
      <c r="AP282" s="49"/>
      <c r="AQ282" s="49">
        <f>AK282+AM282+AN282+AO282+AP282</f>
        <v>280000</v>
      </c>
      <c r="AR282" s="49">
        <f>AQ282/AB282*100</f>
        <v>100</v>
      </c>
      <c r="AS282" s="49">
        <f>AB282-AQ282</f>
        <v>0</v>
      </c>
      <c r="AT282" s="49">
        <v>3091500</v>
      </c>
      <c r="AU282" s="49">
        <f>AT282+U282</f>
        <v>3091500</v>
      </c>
      <c r="AV282" s="49">
        <f>AK282</f>
        <v>0</v>
      </c>
      <c r="AW282" s="72">
        <f>AV282/AU282*100</f>
        <v>0</v>
      </c>
      <c r="AX282" s="49">
        <f>AU282-AV282</f>
        <v>3091500</v>
      </c>
      <c r="AY282" s="49">
        <f>AS282/AB282*100</f>
        <v>0</v>
      </c>
      <c r="AZ282" s="73">
        <f t="shared" si="79"/>
        <v>280000</v>
      </c>
    </row>
    <row r="283" spans="1:52" ht="20.100000000000001" hidden="1" customHeight="1">
      <c r="A283" s="68"/>
      <c r="B283" s="69"/>
      <c r="C283" s="240" t="s">
        <v>474</v>
      </c>
      <c r="D283" s="240"/>
      <c r="E283" s="241"/>
      <c r="F283" s="70"/>
      <c r="G283" s="71"/>
      <c r="H283" s="71"/>
      <c r="I283" s="240" t="s">
        <v>193</v>
      </c>
      <c r="J283" s="240"/>
      <c r="K283" s="241"/>
      <c r="L283" s="49"/>
      <c r="M283" s="49"/>
      <c r="N283" s="49"/>
      <c r="O283" s="49"/>
      <c r="P283" s="49"/>
      <c r="Q283" s="49"/>
      <c r="R283" s="72"/>
      <c r="S283" s="49"/>
      <c r="T283" s="49"/>
      <c r="U283" s="49"/>
      <c r="V283" s="49"/>
      <c r="W283" s="49"/>
      <c r="X283" s="49"/>
      <c r="Y283" s="49"/>
      <c r="Z283" s="49"/>
      <c r="AA283" s="49"/>
      <c r="AB283" s="49"/>
      <c r="AC283" s="49">
        <f t="shared" si="81"/>
        <v>0</v>
      </c>
      <c r="AD283" s="49"/>
      <c r="AE283" s="49"/>
      <c r="AF283" s="49"/>
      <c r="AG283" s="49"/>
      <c r="AH283" s="49"/>
      <c r="AI283" s="49"/>
      <c r="AJ283" s="49"/>
      <c r="AK283" s="49"/>
      <c r="AL283" s="49"/>
      <c r="AM283" s="49"/>
      <c r="AN283" s="49"/>
      <c r="AO283" s="49"/>
      <c r="AP283" s="49"/>
      <c r="AQ283" s="49"/>
      <c r="AR283" s="49"/>
      <c r="AS283" s="49"/>
      <c r="AT283" s="49"/>
      <c r="AU283" s="49"/>
      <c r="AV283" s="49"/>
      <c r="AW283" s="49"/>
      <c r="AX283" s="49"/>
      <c r="AY283" s="49"/>
      <c r="AZ283" s="73">
        <f t="shared" si="79"/>
        <v>0</v>
      </c>
    </row>
    <row r="284" spans="1:52" ht="20.100000000000001" hidden="1" customHeight="1">
      <c r="A284" s="68"/>
      <c r="B284" s="69"/>
      <c r="C284" s="240" t="s">
        <v>475</v>
      </c>
      <c r="D284" s="240"/>
      <c r="E284" s="241"/>
      <c r="F284" s="70"/>
      <c r="G284" s="71"/>
      <c r="H284" s="71"/>
      <c r="I284" s="71"/>
      <c r="J284" s="240" t="s">
        <v>195</v>
      </c>
      <c r="K284" s="241"/>
      <c r="L284" s="49">
        <v>700000</v>
      </c>
      <c r="M284" s="49">
        <v>0</v>
      </c>
      <c r="N284" s="49"/>
      <c r="O284" s="49"/>
      <c r="P284" s="49"/>
      <c r="Q284" s="49">
        <f>SUM(N284:P284)</f>
        <v>0</v>
      </c>
      <c r="R284" s="72"/>
      <c r="S284" s="49">
        <f>M284-Q284</f>
        <v>0</v>
      </c>
      <c r="T284" s="49">
        <v>0</v>
      </c>
      <c r="U284" s="49">
        <f>T284+M284</f>
        <v>0</v>
      </c>
      <c r="V284" s="49">
        <f>T284+S284</f>
        <v>0</v>
      </c>
      <c r="W284" s="49"/>
      <c r="X284" s="49"/>
      <c r="Y284" s="49"/>
      <c r="Z284" s="49"/>
      <c r="AA284" s="49">
        <v>700000</v>
      </c>
      <c r="AB284" s="49">
        <v>700000</v>
      </c>
      <c r="AC284" s="49">
        <f t="shared" si="81"/>
        <v>0</v>
      </c>
      <c r="AD284" s="49">
        <f>AA284+T284+M284</f>
        <v>700000</v>
      </c>
      <c r="AE284" s="49"/>
      <c r="AF284" s="49"/>
      <c r="AG284" s="49"/>
      <c r="AH284" s="49"/>
      <c r="AI284" s="49"/>
      <c r="AJ284" s="49"/>
      <c r="AK284" s="49">
        <f>Z284+Y284+X284+W284+N284+AG284+AJ284+AI284+AH284</f>
        <v>0</v>
      </c>
      <c r="AL284" s="49">
        <f>AK284/AD284*100</f>
        <v>0</v>
      </c>
      <c r="AM284" s="49"/>
      <c r="AN284" s="42">
        <v>700000</v>
      </c>
      <c r="AO284" s="49"/>
      <c r="AP284" s="49"/>
      <c r="AQ284" s="49">
        <f>AK284+AM284+AN284+AO284+AP284</f>
        <v>700000</v>
      </c>
      <c r="AR284" s="49">
        <f>AQ284/AB284*100</f>
        <v>100</v>
      </c>
      <c r="AS284" s="49">
        <f>AB284-AQ284</f>
        <v>0</v>
      </c>
      <c r="AT284" s="49">
        <v>3091500</v>
      </c>
      <c r="AU284" s="49">
        <f>AT284+U284</f>
        <v>3091500</v>
      </c>
      <c r="AV284" s="49">
        <f>AK284</f>
        <v>0</v>
      </c>
      <c r="AW284" s="72">
        <f>AV284/AU284*100</f>
        <v>0</v>
      </c>
      <c r="AX284" s="49">
        <f>AU284-AV284</f>
        <v>3091500</v>
      </c>
      <c r="AY284" s="49">
        <f>AS284/AB284*100</f>
        <v>0</v>
      </c>
      <c r="AZ284" s="73">
        <f t="shared" si="79"/>
        <v>700000</v>
      </c>
    </row>
    <row r="285" spans="1:52" ht="20.100000000000001" hidden="1" customHeight="1">
      <c r="A285" s="68"/>
      <c r="B285" s="69"/>
      <c r="C285" s="240" t="s">
        <v>476</v>
      </c>
      <c r="D285" s="240"/>
      <c r="E285" s="241"/>
      <c r="F285" s="70"/>
      <c r="G285" s="71"/>
      <c r="H285" s="71"/>
      <c r="I285" s="240" t="s">
        <v>157</v>
      </c>
      <c r="J285" s="240"/>
      <c r="K285" s="241"/>
      <c r="L285" s="49"/>
      <c r="M285" s="49"/>
      <c r="N285" s="49"/>
      <c r="O285" s="49"/>
      <c r="P285" s="49"/>
      <c r="Q285" s="49"/>
      <c r="R285" s="72"/>
      <c r="S285" s="49"/>
      <c r="T285" s="49"/>
      <c r="U285" s="49"/>
      <c r="V285" s="49"/>
      <c r="W285" s="49"/>
      <c r="X285" s="49"/>
      <c r="Y285" s="49"/>
      <c r="Z285" s="49"/>
      <c r="AA285" s="49"/>
      <c r="AB285" s="49"/>
      <c r="AC285" s="49">
        <f t="shared" si="81"/>
        <v>0</v>
      </c>
      <c r="AD285" s="49"/>
      <c r="AE285" s="49"/>
      <c r="AF285" s="49"/>
      <c r="AG285" s="49"/>
      <c r="AH285" s="49"/>
      <c r="AI285" s="49"/>
      <c r="AJ285" s="49"/>
      <c r="AK285" s="49"/>
      <c r="AL285" s="49"/>
      <c r="AM285" s="49"/>
      <c r="AN285" s="49"/>
      <c r="AO285" s="49"/>
      <c r="AP285" s="49"/>
      <c r="AQ285" s="49"/>
      <c r="AR285" s="49"/>
      <c r="AS285" s="49"/>
      <c r="AT285" s="49"/>
      <c r="AU285" s="49"/>
      <c r="AV285" s="49"/>
      <c r="AW285" s="49"/>
      <c r="AX285" s="49"/>
      <c r="AY285" s="49"/>
      <c r="AZ285" s="73">
        <f t="shared" si="79"/>
        <v>0</v>
      </c>
    </row>
    <row r="286" spans="1:52" ht="20.100000000000001" hidden="1" customHeight="1">
      <c r="A286" s="68"/>
      <c r="B286" s="69"/>
      <c r="C286" s="240" t="s">
        <v>477</v>
      </c>
      <c r="D286" s="240"/>
      <c r="E286" s="241"/>
      <c r="F286" s="70"/>
      <c r="G286" s="71"/>
      <c r="H286" s="71"/>
      <c r="I286" s="71"/>
      <c r="J286" s="240" t="s">
        <v>159</v>
      </c>
      <c r="K286" s="241"/>
      <c r="L286" s="49">
        <v>2400000</v>
      </c>
      <c r="M286" s="49">
        <v>0</v>
      </c>
      <c r="N286" s="49"/>
      <c r="O286" s="49"/>
      <c r="P286" s="49"/>
      <c r="Q286" s="49">
        <f>SUM(N286:P286)</f>
        <v>0</v>
      </c>
      <c r="R286" s="72"/>
      <c r="S286" s="49">
        <f>M286-Q286</f>
        <v>0</v>
      </c>
      <c r="T286" s="49">
        <v>0</v>
      </c>
      <c r="U286" s="49">
        <f>T286+M286</f>
        <v>0</v>
      </c>
      <c r="V286" s="49">
        <f>T286+S286</f>
        <v>0</v>
      </c>
      <c r="W286" s="49"/>
      <c r="X286" s="49"/>
      <c r="Y286" s="49"/>
      <c r="Z286" s="49"/>
      <c r="AA286" s="49">
        <v>2400000</v>
      </c>
      <c r="AB286" s="49">
        <v>2400000</v>
      </c>
      <c r="AC286" s="49">
        <f t="shared" si="81"/>
        <v>0</v>
      </c>
      <c r="AD286" s="49">
        <f>AA286+T286+M286</f>
        <v>2400000</v>
      </c>
      <c r="AE286" s="49"/>
      <c r="AF286" s="49"/>
      <c r="AG286" s="49"/>
      <c r="AH286" s="49"/>
      <c r="AI286" s="49"/>
      <c r="AJ286" s="49"/>
      <c r="AK286" s="49">
        <f>Z286+Y286+X286+W286+N286+AG286+AJ286+AI286+AH286</f>
        <v>0</v>
      </c>
      <c r="AL286" s="49">
        <f>AK286/AD286*100</f>
        <v>0</v>
      </c>
      <c r="AM286" s="49"/>
      <c r="AN286" s="42">
        <v>2240000</v>
      </c>
      <c r="AO286" s="49"/>
      <c r="AP286" s="49"/>
      <c r="AQ286" s="49">
        <f>AK286+AM286+AN286+AO286+AP286</f>
        <v>2240000</v>
      </c>
      <c r="AR286" s="49">
        <f>AQ286/AB286*100</f>
        <v>93.333333333333329</v>
      </c>
      <c r="AS286" s="49">
        <f>AB286-AQ286</f>
        <v>160000</v>
      </c>
      <c r="AT286" s="49">
        <v>3091500</v>
      </c>
      <c r="AU286" s="49">
        <f>AT286+U286</f>
        <v>3091500</v>
      </c>
      <c r="AV286" s="49">
        <f>AK286</f>
        <v>0</v>
      </c>
      <c r="AW286" s="72">
        <f>AV286/AU286*100</f>
        <v>0</v>
      </c>
      <c r="AX286" s="49">
        <f>AU286-AV286</f>
        <v>3091500</v>
      </c>
      <c r="AY286" s="49">
        <f>AS286/AB286*100</f>
        <v>6.666666666666667</v>
      </c>
      <c r="AZ286" s="73">
        <f t="shared" si="79"/>
        <v>2240000</v>
      </c>
    </row>
    <row r="287" spans="1:52" ht="20.100000000000001" hidden="1" customHeight="1">
      <c r="A287" s="68"/>
      <c r="B287" s="69"/>
      <c r="C287" s="240" t="s">
        <v>478</v>
      </c>
      <c r="D287" s="240"/>
      <c r="E287" s="241"/>
      <c r="F287" s="70"/>
      <c r="G287" s="71"/>
      <c r="H287" s="71"/>
      <c r="I287" s="71"/>
      <c r="J287" s="240" t="s">
        <v>207</v>
      </c>
      <c r="K287" s="241"/>
      <c r="L287" s="49">
        <v>1000000</v>
      </c>
      <c r="M287" s="49">
        <v>0</v>
      </c>
      <c r="N287" s="49"/>
      <c r="O287" s="49"/>
      <c r="P287" s="49"/>
      <c r="Q287" s="49">
        <f>SUM(N287:P287)</f>
        <v>0</v>
      </c>
      <c r="R287" s="72"/>
      <c r="S287" s="49">
        <f>M287-Q287</f>
        <v>0</v>
      </c>
      <c r="T287" s="49">
        <v>0</v>
      </c>
      <c r="U287" s="49">
        <f>T287+M287</f>
        <v>0</v>
      </c>
      <c r="V287" s="49">
        <f>T287+S287</f>
        <v>0</v>
      </c>
      <c r="W287" s="49"/>
      <c r="X287" s="49"/>
      <c r="Y287" s="49"/>
      <c r="Z287" s="49"/>
      <c r="AA287" s="49">
        <v>1000000</v>
      </c>
      <c r="AB287" s="49">
        <v>1000000</v>
      </c>
      <c r="AC287" s="49">
        <f t="shared" si="81"/>
        <v>0</v>
      </c>
      <c r="AD287" s="49">
        <f>AA287+T287+M287</f>
        <v>1000000</v>
      </c>
      <c r="AE287" s="49"/>
      <c r="AF287" s="49"/>
      <c r="AG287" s="49"/>
      <c r="AH287" s="49"/>
      <c r="AI287" s="49"/>
      <c r="AJ287" s="49"/>
      <c r="AK287" s="49">
        <f>Z287+Y287+X287+W287+N287+AG287+AJ287+AI287+AH287</f>
        <v>0</v>
      </c>
      <c r="AL287" s="49">
        <f>AK287/AD287*100</f>
        <v>0</v>
      </c>
      <c r="AM287" s="49"/>
      <c r="AN287" s="42">
        <v>1000000</v>
      </c>
      <c r="AO287" s="49"/>
      <c r="AP287" s="49"/>
      <c r="AQ287" s="49">
        <f>AK287+AM287+AN287+AO287+AP287</f>
        <v>1000000</v>
      </c>
      <c r="AR287" s="49">
        <f>AQ287/AB287*100</f>
        <v>100</v>
      </c>
      <c r="AS287" s="49">
        <f>AB287-AQ287</f>
        <v>0</v>
      </c>
      <c r="AT287" s="49">
        <v>3091500</v>
      </c>
      <c r="AU287" s="49">
        <f>AT287+U287</f>
        <v>3091500</v>
      </c>
      <c r="AV287" s="49">
        <f>AK287</f>
        <v>0</v>
      </c>
      <c r="AW287" s="72">
        <f>AV287/AU287*100</f>
        <v>0</v>
      </c>
      <c r="AX287" s="49">
        <f>AU287-AV287</f>
        <v>3091500</v>
      </c>
      <c r="AY287" s="49">
        <f>AS287/AB287*100</f>
        <v>0</v>
      </c>
      <c r="AZ287" s="73">
        <f t="shared" si="79"/>
        <v>1000000</v>
      </c>
    </row>
    <row r="288" spans="1:52" ht="20.100000000000001" hidden="1" customHeight="1">
      <c r="A288" s="68"/>
      <c r="B288" s="69"/>
      <c r="C288" s="240" t="s">
        <v>479</v>
      </c>
      <c r="D288" s="240"/>
      <c r="E288" s="241"/>
      <c r="F288" s="70"/>
      <c r="G288" s="71"/>
      <c r="H288" s="71"/>
      <c r="I288" s="240" t="s">
        <v>402</v>
      </c>
      <c r="J288" s="240"/>
      <c r="K288" s="241"/>
      <c r="L288" s="49"/>
      <c r="M288" s="49"/>
      <c r="N288" s="49"/>
      <c r="O288" s="49"/>
      <c r="P288" s="49"/>
      <c r="Q288" s="49"/>
      <c r="R288" s="72"/>
      <c r="S288" s="49"/>
      <c r="T288" s="49"/>
      <c r="U288" s="49"/>
      <c r="V288" s="49"/>
      <c r="W288" s="49"/>
      <c r="X288" s="49"/>
      <c r="Y288" s="49"/>
      <c r="Z288" s="49"/>
      <c r="AA288" s="49"/>
      <c r="AB288" s="49"/>
      <c r="AC288" s="49">
        <f t="shared" si="81"/>
        <v>0</v>
      </c>
      <c r="AD288" s="49"/>
      <c r="AE288" s="49"/>
      <c r="AF288" s="49"/>
      <c r="AG288" s="49"/>
      <c r="AH288" s="49"/>
      <c r="AI288" s="49"/>
      <c r="AJ288" s="49"/>
      <c r="AK288" s="49"/>
      <c r="AL288" s="49"/>
      <c r="AM288" s="49"/>
      <c r="AN288" s="49"/>
      <c r="AO288" s="49"/>
      <c r="AP288" s="49"/>
      <c r="AQ288" s="49"/>
      <c r="AR288" s="49"/>
      <c r="AS288" s="49"/>
      <c r="AT288" s="49"/>
      <c r="AU288" s="49"/>
      <c r="AV288" s="49"/>
      <c r="AW288" s="49"/>
      <c r="AX288" s="49"/>
      <c r="AY288" s="49"/>
      <c r="AZ288" s="73">
        <f t="shared" si="79"/>
        <v>0</v>
      </c>
    </row>
    <row r="289" spans="1:52" ht="20.100000000000001" hidden="1" customHeight="1">
      <c r="A289" s="68"/>
      <c r="B289" s="69"/>
      <c r="C289" s="240" t="s">
        <v>480</v>
      </c>
      <c r="D289" s="240"/>
      <c r="E289" s="241"/>
      <c r="F289" s="70"/>
      <c r="G289" s="71"/>
      <c r="H289" s="71"/>
      <c r="I289" s="71"/>
      <c r="J289" s="240" t="s">
        <v>404</v>
      </c>
      <c r="K289" s="241"/>
      <c r="L289" s="49">
        <v>2300000</v>
      </c>
      <c r="M289" s="49">
        <v>0</v>
      </c>
      <c r="N289" s="49"/>
      <c r="O289" s="49"/>
      <c r="P289" s="49"/>
      <c r="Q289" s="49">
        <f>SUM(N289:P289)</f>
        <v>0</v>
      </c>
      <c r="R289" s="72"/>
      <c r="S289" s="49">
        <f>M289-Q289</f>
        <v>0</v>
      </c>
      <c r="T289" s="49">
        <v>0</v>
      </c>
      <c r="U289" s="49">
        <f>T289+M289</f>
        <v>0</v>
      </c>
      <c r="V289" s="49">
        <f>T289+S289</f>
        <v>0</v>
      </c>
      <c r="W289" s="49"/>
      <c r="X289" s="49"/>
      <c r="Y289" s="49"/>
      <c r="Z289" s="49"/>
      <c r="AA289" s="49">
        <v>2300000</v>
      </c>
      <c r="AB289" s="49">
        <v>2300000</v>
      </c>
      <c r="AC289" s="49">
        <f t="shared" si="81"/>
        <v>0</v>
      </c>
      <c r="AD289" s="49">
        <f>AA289+T289+M289</f>
        <v>2300000</v>
      </c>
      <c r="AE289" s="49"/>
      <c r="AF289" s="49"/>
      <c r="AG289" s="49"/>
      <c r="AH289" s="49"/>
      <c r="AI289" s="49"/>
      <c r="AJ289" s="49"/>
      <c r="AK289" s="49">
        <f>Z289+Y289+X289+W289+N289+AG289+AJ289+AI289+AH289</f>
        <v>0</v>
      </c>
      <c r="AL289" s="49">
        <f>AK289/AD289*100</f>
        <v>0</v>
      </c>
      <c r="AM289" s="49"/>
      <c r="AN289" s="42">
        <v>2300000</v>
      </c>
      <c r="AO289" s="49"/>
      <c r="AP289" s="49"/>
      <c r="AQ289" s="49">
        <f>AK289+AM289+AN289+AO289+AP289</f>
        <v>2300000</v>
      </c>
      <c r="AR289" s="49">
        <f>AQ289/AB289*100</f>
        <v>100</v>
      </c>
      <c r="AS289" s="49">
        <f>AB289-AQ289</f>
        <v>0</v>
      </c>
      <c r="AT289" s="49">
        <v>3091500</v>
      </c>
      <c r="AU289" s="49">
        <f>AT289+U289</f>
        <v>3091500</v>
      </c>
      <c r="AV289" s="49">
        <f>AK289</f>
        <v>0</v>
      </c>
      <c r="AW289" s="72">
        <f>AV289/AU289*100</f>
        <v>0</v>
      </c>
      <c r="AX289" s="49">
        <f>AU289-AV289</f>
        <v>3091500</v>
      </c>
      <c r="AY289" s="49">
        <f>AS289/AB289*100</f>
        <v>0</v>
      </c>
      <c r="AZ289" s="73">
        <f t="shared" si="79"/>
        <v>2300000</v>
      </c>
    </row>
    <row r="290" spans="1:52" ht="20.100000000000001" customHeight="1">
      <c r="A290" s="60" t="s">
        <v>481</v>
      </c>
      <c r="B290" s="75"/>
      <c r="C290" s="247" t="s">
        <v>459</v>
      </c>
      <c r="D290" s="247"/>
      <c r="E290" s="248"/>
      <c r="F290" s="249" t="s">
        <v>6</v>
      </c>
      <c r="G290" s="250"/>
      <c r="H290" s="250"/>
      <c r="I290" s="250"/>
      <c r="J290" s="250"/>
      <c r="K290" s="251"/>
      <c r="L290" s="48">
        <f>L291+L309+L329+L351+L374+L395</f>
        <v>1059675000</v>
      </c>
      <c r="M290" s="48">
        <f>M291+M309+M329+M351+M374+M395</f>
        <v>376965000</v>
      </c>
      <c r="N290" s="48">
        <f>N291+N309+N329+N351+N374+N395</f>
        <v>0</v>
      </c>
      <c r="O290" s="48">
        <f>O291+O309+O329+O351+O374+O395</f>
        <v>0</v>
      </c>
      <c r="P290" s="48">
        <f>P291+P309+P329+P351+P374+P395</f>
        <v>0</v>
      </c>
      <c r="Q290" s="48">
        <f>SUM(N290:P290)</f>
        <v>0</v>
      </c>
      <c r="R290" s="61"/>
      <c r="S290" s="48">
        <f>M290-Q290</f>
        <v>376965000</v>
      </c>
      <c r="T290" s="48">
        <f>T291+T309+T329+T351+T374+T395</f>
        <v>375841500</v>
      </c>
      <c r="U290" s="48">
        <f>T290+M290</f>
        <v>752806500</v>
      </c>
      <c r="V290" s="48">
        <f>T290+S290</f>
        <v>752806500</v>
      </c>
      <c r="W290" s="48">
        <f t="shared" ref="W290:AB290" si="85">W291+W309+W329+W351+W374+W395</f>
        <v>16771000</v>
      </c>
      <c r="X290" s="48">
        <f t="shared" si="85"/>
        <v>33660000</v>
      </c>
      <c r="Y290" s="48">
        <f t="shared" si="85"/>
        <v>0</v>
      </c>
      <c r="Z290" s="48">
        <f t="shared" si="85"/>
        <v>475953975</v>
      </c>
      <c r="AA290" s="48">
        <f t="shared" si="85"/>
        <v>273034000</v>
      </c>
      <c r="AB290" s="48">
        <f t="shared" si="85"/>
        <v>1059675000</v>
      </c>
      <c r="AC290" s="48">
        <f t="shared" si="81"/>
        <v>0</v>
      </c>
      <c r="AD290" s="48">
        <f>AA290+T290+M290</f>
        <v>1025840500</v>
      </c>
      <c r="AE290" s="48">
        <f t="shared" ref="AE290:AK290" si="86">AE291+AE309+AE329+AE351+AE374+AE395</f>
        <v>115778000</v>
      </c>
      <c r="AF290" s="48">
        <f t="shared" si="86"/>
        <v>47500000</v>
      </c>
      <c r="AG290" s="48">
        <f t="shared" si="86"/>
        <v>24157000</v>
      </c>
      <c r="AH290" s="48">
        <f t="shared" si="86"/>
        <v>0</v>
      </c>
      <c r="AI290" s="48">
        <f t="shared" si="86"/>
        <v>0</v>
      </c>
      <c r="AJ290" s="48">
        <f t="shared" si="86"/>
        <v>5300000</v>
      </c>
      <c r="AK290" s="48">
        <f t="shared" si="86"/>
        <v>719119975</v>
      </c>
      <c r="AL290" s="48">
        <f>AK290/AB290*100</f>
        <v>67.862313917002865</v>
      </c>
      <c r="AM290" s="48">
        <f>AM291+AM309+AM329+AM351+AM374+AM395</f>
        <v>0</v>
      </c>
      <c r="AN290" s="48">
        <f>AN291+AN309+AN329+AN351+AN374+AN395</f>
        <v>109017400</v>
      </c>
      <c r="AO290" s="48">
        <f>AO291+AO309+AO329+AO351+AO374+AO395</f>
        <v>25123850</v>
      </c>
      <c r="AP290" s="48">
        <f>AP291+AP309+AP329+AP351+AP374+AP395</f>
        <v>50232500</v>
      </c>
      <c r="AQ290" s="48">
        <f>AK290+AM290+AN290+AO290+AP290</f>
        <v>903493725</v>
      </c>
      <c r="AR290" s="48">
        <f>AQ290/AB290*100</f>
        <v>85.261398542005807</v>
      </c>
      <c r="AS290" s="48">
        <f>AB290-AQ290</f>
        <v>156181275</v>
      </c>
      <c r="AT290" s="48">
        <v>120767500</v>
      </c>
      <c r="AU290" s="48">
        <f>AT290+U290</f>
        <v>873574000</v>
      </c>
      <c r="AV290" s="48">
        <f>AK290</f>
        <v>719119975</v>
      </c>
      <c r="AW290" s="61">
        <f>AV290/AU290*100</f>
        <v>82.319296934203621</v>
      </c>
      <c r="AX290" s="48">
        <f>AU290-AV290</f>
        <v>154454025</v>
      </c>
      <c r="AY290" s="48">
        <f>AS290/AB290*100</f>
        <v>14.738601457994196</v>
      </c>
      <c r="AZ290" s="73">
        <f t="shared" si="79"/>
        <v>878369875</v>
      </c>
    </row>
    <row r="291" spans="1:52" ht="20.100000000000001" customHeight="1">
      <c r="A291" s="62">
        <v>21</v>
      </c>
      <c r="B291" s="63"/>
      <c r="C291" s="242" t="s">
        <v>482</v>
      </c>
      <c r="D291" s="242"/>
      <c r="E291" s="243"/>
      <c r="F291" s="64"/>
      <c r="G291" s="244" t="s">
        <v>483</v>
      </c>
      <c r="H291" s="244"/>
      <c r="I291" s="244"/>
      <c r="J291" s="244"/>
      <c r="K291" s="245"/>
      <c r="L291" s="65">
        <f>SUM(L294:L308)</f>
        <v>35116000</v>
      </c>
      <c r="M291" s="65">
        <f>SUM(M294:M308)</f>
        <v>10870000</v>
      </c>
      <c r="N291" s="65">
        <f>SUM(N294:N308)</f>
        <v>0</v>
      </c>
      <c r="O291" s="65">
        <f>SUM(O294:O308)</f>
        <v>0</v>
      </c>
      <c r="P291" s="65">
        <f>SUM(P294:P308)</f>
        <v>0</v>
      </c>
      <c r="Q291" s="65">
        <f>SUM(N291:P291)</f>
        <v>0</v>
      </c>
      <c r="R291" s="66"/>
      <c r="S291" s="65">
        <f>M291-Q291</f>
        <v>10870000</v>
      </c>
      <c r="T291" s="65">
        <f>SUM(T294:T308)</f>
        <v>24246000</v>
      </c>
      <c r="U291" s="65">
        <f>T291+M291</f>
        <v>35116000</v>
      </c>
      <c r="V291" s="65">
        <f>T291+S291</f>
        <v>35116000</v>
      </c>
      <c r="W291" s="65">
        <f>SUM(W294:W308)</f>
        <v>16771000</v>
      </c>
      <c r="X291" s="65">
        <f>SUM(X294:X308)</f>
        <v>0</v>
      </c>
      <c r="Y291" s="65">
        <f>SUM(Y294:Y308)</f>
        <v>0</v>
      </c>
      <c r="Z291" s="65"/>
      <c r="AA291" s="65">
        <f>SUM(AA294:AA308)</f>
        <v>0</v>
      </c>
      <c r="AB291" s="65">
        <f>SUM(AB294:AB308)</f>
        <v>35116000</v>
      </c>
      <c r="AC291" s="65">
        <f t="shared" si="81"/>
        <v>0</v>
      </c>
      <c r="AD291" s="65">
        <f>AA291+T291+M291</f>
        <v>35116000</v>
      </c>
      <c r="AE291" s="65">
        <f t="shared" ref="AE291:AK291" si="87">SUM(AE294:AE308)</f>
        <v>0</v>
      </c>
      <c r="AF291" s="65">
        <f t="shared" si="87"/>
        <v>0</v>
      </c>
      <c r="AG291" s="65">
        <f t="shared" si="87"/>
        <v>0</v>
      </c>
      <c r="AH291" s="65">
        <f t="shared" si="87"/>
        <v>0</v>
      </c>
      <c r="AI291" s="65">
        <f t="shared" si="87"/>
        <v>0</v>
      </c>
      <c r="AJ291" s="65">
        <f t="shared" si="87"/>
        <v>0</v>
      </c>
      <c r="AK291" s="65">
        <f t="shared" si="87"/>
        <v>16771000</v>
      </c>
      <c r="AL291" s="65">
        <f>AK291/AB291*100</f>
        <v>47.758856361772409</v>
      </c>
      <c r="AM291" s="65">
        <f>SUM(AM294:AM308)</f>
        <v>0</v>
      </c>
      <c r="AN291" s="65">
        <f>SUM(AN294:AN308)</f>
        <v>0</v>
      </c>
      <c r="AO291" s="65">
        <f>SUM(AO294:AO308)</f>
        <v>0</v>
      </c>
      <c r="AP291" s="65">
        <f>SUM(AP294:AP308)</f>
        <v>0</v>
      </c>
      <c r="AQ291" s="65">
        <f>AK291+AM291+AN291+AO291+AP291</f>
        <v>16771000</v>
      </c>
      <c r="AR291" s="65">
        <f>AQ291/AB291*100</f>
        <v>47.758856361772409</v>
      </c>
      <c r="AS291" s="65">
        <f>AB291-AQ291</f>
        <v>18345000</v>
      </c>
      <c r="AT291" s="65">
        <f>SUM(AT294:AT300)</f>
        <v>9274500</v>
      </c>
      <c r="AU291" s="65">
        <f>AT291+U291</f>
        <v>44390500</v>
      </c>
      <c r="AV291" s="65">
        <f>AK291</f>
        <v>16771000</v>
      </c>
      <c r="AW291" s="66">
        <f>AV291/AU291*100</f>
        <v>37.780606210788342</v>
      </c>
      <c r="AX291" s="65">
        <f>AU291-AV291</f>
        <v>27619500</v>
      </c>
      <c r="AY291" s="65">
        <f>AS291/AB291*100</f>
        <v>52.241143638227591</v>
      </c>
      <c r="AZ291" s="67">
        <f t="shared" si="79"/>
        <v>16771000</v>
      </c>
    </row>
    <row r="292" spans="1:52" ht="20.100000000000001" hidden="1" customHeight="1">
      <c r="A292" s="68"/>
      <c r="B292" s="69"/>
      <c r="C292" s="240" t="s">
        <v>484</v>
      </c>
      <c r="D292" s="240"/>
      <c r="E292" s="241"/>
      <c r="F292" s="70"/>
      <c r="G292" s="71"/>
      <c r="H292" s="240" t="s">
        <v>10</v>
      </c>
      <c r="I292" s="240"/>
      <c r="J292" s="240"/>
      <c r="K292" s="241"/>
      <c r="L292" s="49"/>
      <c r="M292" s="49"/>
      <c r="N292" s="49"/>
      <c r="O292" s="49"/>
      <c r="P292" s="49"/>
      <c r="Q292" s="49"/>
      <c r="R292" s="72"/>
      <c r="S292" s="49"/>
      <c r="T292" s="49"/>
      <c r="U292" s="49"/>
      <c r="V292" s="49"/>
      <c r="W292" s="49"/>
      <c r="X292" s="49"/>
      <c r="Y292" s="49"/>
      <c r="Z292" s="49"/>
      <c r="AA292" s="49"/>
      <c r="AB292" s="49"/>
      <c r="AC292" s="49">
        <f t="shared" si="81"/>
        <v>0</v>
      </c>
      <c r="AD292" s="49"/>
      <c r="AE292" s="49"/>
      <c r="AF292" s="49"/>
      <c r="AG292" s="49"/>
      <c r="AH292" s="49"/>
      <c r="AI292" s="49"/>
      <c r="AJ292" s="49"/>
      <c r="AK292" s="49"/>
      <c r="AL292" s="49"/>
      <c r="AM292" s="49"/>
      <c r="AN292" s="49"/>
      <c r="AO292" s="49"/>
      <c r="AP292" s="49"/>
      <c r="AQ292" s="49"/>
      <c r="AR292" s="49"/>
      <c r="AS292" s="49"/>
      <c r="AT292" s="49"/>
      <c r="AU292" s="49"/>
      <c r="AV292" s="49"/>
      <c r="AW292" s="49"/>
      <c r="AX292" s="49"/>
      <c r="AY292" s="49"/>
      <c r="AZ292" s="73">
        <f t="shared" ref="AZ292:AZ355" si="88">AQ292-AO292</f>
        <v>0</v>
      </c>
    </row>
    <row r="293" spans="1:52" ht="20.100000000000001" hidden="1" customHeight="1">
      <c r="A293" s="68"/>
      <c r="B293" s="69"/>
      <c r="C293" s="240" t="s">
        <v>485</v>
      </c>
      <c r="D293" s="240"/>
      <c r="E293" s="241"/>
      <c r="F293" s="70"/>
      <c r="G293" s="71"/>
      <c r="H293" s="71"/>
      <c r="I293" s="240" t="s">
        <v>177</v>
      </c>
      <c r="J293" s="240"/>
      <c r="K293" s="241"/>
      <c r="L293" s="49"/>
      <c r="M293" s="49"/>
      <c r="N293" s="49"/>
      <c r="O293" s="49"/>
      <c r="P293" s="49"/>
      <c r="Q293" s="49"/>
      <c r="R293" s="72"/>
      <c r="S293" s="49"/>
      <c r="T293" s="49"/>
      <c r="U293" s="49"/>
      <c r="V293" s="49"/>
      <c r="W293" s="49"/>
      <c r="X293" s="49"/>
      <c r="Y293" s="49"/>
      <c r="Z293" s="49"/>
      <c r="AA293" s="49"/>
      <c r="AB293" s="49"/>
      <c r="AC293" s="49">
        <f t="shared" si="81"/>
        <v>0</v>
      </c>
      <c r="AD293" s="49"/>
      <c r="AE293" s="49"/>
      <c r="AF293" s="49"/>
      <c r="AG293" s="49"/>
      <c r="AH293" s="49"/>
      <c r="AI293" s="49"/>
      <c r="AJ293" s="49"/>
      <c r="AK293" s="49"/>
      <c r="AL293" s="49"/>
      <c r="AM293" s="49"/>
      <c r="AN293" s="49"/>
      <c r="AO293" s="49"/>
      <c r="AP293" s="49"/>
      <c r="AQ293" s="49"/>
      <c r="AR293" s="49"/>
      <c r="AS293" s="49"/>
      <c r="AT293" s="49"/>
      <c r="AU293" s="49"/>
      <c r="AV293" s="49"/>
      <c r="AW293" s="49"/>
      <c r="AX293" s="49"/>
      <c r="AY293" s="49"/>
      <c r="AZ293" s="73">
        <f t="shared" si="88"/>
        <v>0</v>
      </c>
    </row>
    <row r="294" spans="1:52" ht="20.100000000000001" hidden="1" customHeight="1">
      <c r="A294" s="68"/>
      <c r="B294" s="69"/>
      <c r="C294" s="240" t="s">
        <v>486</v>
      </c>
      <c r="D294" s="240"/>
      <c r="E294" s="241"/>
      <c r="F294" s="70"/>
      <c r="G294" s="71"/>
      <c r="H294" s="71"/>
      <c r="I294" s="71"/>
      <c r="J294" s="240" t="s">
        <v>283</v>
      </c>
      <c r="K294" s="241"/>
      <c r="L294" s="49">
        <v>970000</v>
      </c>
      <c r="M294" s="49">
        <v>0</v>
      </c>
      <c r="N294" s="49"/>
      <c r="O294" s="49"/>
      <c r="P294" s="49"/>
      <c r="Q294" s="49">
        <f>SUM(N294:P294)</f>
        <v>0</v>
      </c>
      <c r="R294" s="72"/>
      <c r="S294" s="49">
        <f>M294-Q294</f>
        <v>0</v>
      </c>
      <c r="T294" s="49">
        <v>970000</v>
      </c>
      <c r="U294" s="49">
        <f>T294+M294</f>
        <v>970000</v>
      </c>
      <c r="V294" s="49">
        <f>T294+S294</f>
        <v>970000</v>
      </c>
      <c r="W294" s="49">
        <v>970000</v>
      </c>
      <c r="X294" s="49"/>
      <c r="Y294" s="49"/>
      <c r="Z294" s="49"/>
      <c r="AA294" s="49">
        <v>0</v>
      </c>
      <c r="AB294" s="49">
        <v>970000</v>
      </c>
      <c r="AC294" s="49">
        <f t="shared" si="81"/>
        <v>0</v>
      </c>
      <c r="AD294" s="49">
        <f>AA294+T294+M294</f>
        <v>970000</v>
      </c>
      <c r="AE294" s="49"/>
      <c r="AF294" s="49"/>
      <c r="AG294" s="49">
        <v>0</v>
      </c>
      <c r="AH294" s="49"/>
      <c r="AI294" s="49">
        <v>0</v>
      </c>
      <c r="AJ294" s="49">
        <v>0</v>
      </c>
      <c r="AK294" s="49">
        <f>Z294+Y294+X294+W294+N294+AG294+AJ294+AI294+AH294</f>
        <v>970000</v>
      </c>
      <c r="AL294" s="49">
        <f>AK294/AD294*100</f>
        <v>100</v>
      </c>
      <c r="AM294" s="49"/>
      <c r="AN294" s="49"/>
      <c r="AO294" s="49"/>
      <c r="AP294" s="49"/>
      <c r="AQ294" s="49">
        <f>AK294+AM294+AN294+AO294+AP294</f>
        <v>970000</v>
      </c>
      <c r="AR294" s="49">
        <f>AQ294/AB294*100</f>
        <v>100</v>
      </c>
      <c r="AS294" s="49">
        <f>AB294-AQ294</f>
        <v>0</v>
      </c>
      <c r="AT294" s="49">
        <v>3091500</v>
      </c>
      <c r="AU294" s="49">
        <f>AT294+U294</f>
        <v>4061500</v>
      </c>
      <c r="AV294" s="49">
        <f>AK294</f>
        <v>970000</v>
      </c>
      <c r="AW294" s="72">
        <f>AV294/AU294*100</f>
        <v>23.882801920472733</v>
      </c>
      <c r="AX294" s="49">
        <f>AU294-AV294</f>
        <v>3091500</v>
      </c>
      <c r="AY294" s="49">
        <f>AS294/AB294*100</f>
        <v>0</v>
      </c>
      <c r="AZ294" s="73">
        <f t="shared" si="88"/>
        <v>970000</v>
      </c>
    </row>
    <row r="295" spans="1:52" ht="20.100000000000001" hidden="1" customHeight="1">
      <c r="A295" s="68"/>
      <c r="B295" s="69"/>
      <c r="C295" s="240" t="s">
        <v>487</v>
      </c>
      <c r="D295" s="240"/>
      <c r="E295" s="241"/>
      <c r="F295" s="70"/>
      <c r="G295" s="71"/>
      <c r="H295" s="240" t="s">
        <v>143</v>
      </c>
      <c r="I295" s="240"/>
      <c r="J295" s="240"/>
      <c r="K295" s="241"/>
      <c r="L295" s="49"/>
      <c r="M295" s="49"/>
      <c r="N295" s="49"/>
      <c r="O295" s="49"/>
      <c r="P295" s="49"/>
      <c r="Q295" s="49"/>
      <c r="R295" s="72"/>
      <c r="S295" s="49"/>
      <c r="T295" s="49"/>
      <c r="U295" s="49"/>
      <c r="V295" s="49"/>
      <c r="W295" s="49"/>
      <c r="X295" s="49"/>
      <c r="Y295" s="49"/>
      <c r="Z295" s="49"/>
      <c r="AA295" s="49"/>
      <c r="AB295" s="49"/>
      <c r="AC295" s="49">
        <f t="shared" si="81"/>
        <v>0</v>
      </c>
      <c r="AD295" s="49"/>
      <c r="AE295" s="49"/>
      <c r="AF295" s="49"/>
      <c r="AG295" s="49"/>
      <c r="AH295" s="49"/>
      <c r="AI295" s="49"/>
      <c r="AJ295" s="49"/>
      <c r="AK295" s="49"/>
      <c r="AL295" s="49"/>
      <c r="AM295" s="49"/>
      <c r="AN295" s="49"/>
      <c r="AO295" s="49"/>
      <c r="AP295" s="49"/>
      <c r="AQ295" s="49"/>
      <c r="AR295" s="49"/>
      <c r="AS295" s="49"/>
      <c r="AT295" s="49"/>
      <c r="AU295" s="49"/>
      <c r="AV295" s="49"/>
      <c r="AW295" s="49"/>
      <c r="AX295" s="49"/>
      <c r="AY295" s="49"/>
      <c r="AZ295" s="73">
        <f t="shared" si="88"/>
        <v>0</v>
      </c>
    </row>
    <row r="296" spans="1:52" ht="20.100000000000001" hidden="1" customHeight="1">
      <c r="A296" s="68"/>
      <c r="B296" s="69"/>
      <c r="C296" s="240" t="s">
        <v>488</v>
      </c>
      <c r="D296" s="240"/>
      <c r="E296" s="241"/>
      <c r="F296" s="70"/>
      <c r="G296" s="71"/>
      <c r="H296" s="71"/>
      <c r="I296" s="240" t="s">
        <v>145</v>
      </c>
      <c r="J296" s="240"/>
      <c r="K296" s="241"/>
      <c r="L296" s="49"/>
      <c r="M296" s="49"/>
      <c r="N296" s="49"/>
      <c r="O296" s="49"/>
      <c r="P296" s="49"/>
      <c r="Q296" s="49"/>
      <c r="R296" s="72"/>
      <c r="S296" s="49"/>
      <c r="T296" s="49"/>
      <c r="U296" s="49"/>
      <c r="V296" s="49"/>
      <c r="W296" s="49"/>
      <c r="X296" s="49"/>
      <c r="Y296" s="49"/>
      <c r="Z296" s="49"/>
      <c r="AA296" s="49"/>
      <c r="AB296" s="49"/>
      <c r="AC296" s="49">
        <f t="shared" si="81"/>
        <v>0</v>
      </c>
      <c r="AD296" s="49"/>
      <c r="AE296" s="49"/>
      <c r="AF296" s="49"/>
      <c r="AG296" s="49"/>
      <c r="AH296" s="49"/>
      <c r="AI296" s="49"/>
      <c r="AJ296" s="49"/>
      <c r="AK296" s="49"/>
      <c r="AL296" s="49"/>
      <c r="AM296" s="49"/>
      <c r="AN296" s="49"/>
      <c r="AO296" s="49"/>
      <c r="AP296" s="49"/>
      <c r="AQ296" s="49"/>
      <c r="AR296" s="49"/>
      <c r="AS296" s="49"/>
      <c r="AT296" s="49"/>
      <c r="AU296" s="49"/>
      <c r="AV296" s="49"/>
      <c r="AW296" s="49"/>
      <c r="AX296" s="49"/>
      <c r="AY296" s="49"/>
      <c r="AZ296" s="73">
        <f t="shared" si="88"/>
        <v>0</v>
      </c>
    </row>
    <row r="297" spans="1:52" ht="20.100000000000001" hidden="1" customHeight="1">
      <c r="A297" s="68"/>
      <c r="B297" s="69"/>
      <c r="C297" s="240" t="s">
        <v>489</v>
      </c>
      <c r="D297" s="240"/>
      <c r="E297" s="241"/>
      <c r="F297" s="70"/>
      <c r="G297" s="71"/>
      <c r="H297" s="71"/>
      <c r="I297" s="71"/>
      <c r="J297" s="240" t="s">
        <v>147</v>
      </c>
      <c r="K297" s="241"/>
      <c r="L297" s="49">
        <v>1811000</v>
      </c>
      <c r="M297" s="49">
        <v>0</v>
      </c>
      <c r="N297" s="49"/>
      <c r="O297" s="49"/>
      <c r="P297" s="49"/>
      <c r="Q297" s="49">
        <f>SUM(N297:P297)</f>
        <v>0</v>
      </c>
      <c r="R297" s="72"/>
      <c r="S297" s="49">
        <f>M297-Q297</f>
        <v>0</v>
      </c>
      <c r="T297" s="49">
        <v>1811000</v>
      </c>
      <c r="U297" s="49">
        <f>T297+M297</f>
        <v>1811000</v>
      </c>
      <c r="V297" s="49">
        <f>T297+S297</f>
        <v>1811000</v>
      </c>
      <c r="W297" s="49">
        <v>1811000</v>
      </c>
      <c r="X297" s="49"/>
      <c r="Y297" s="49"/>
      <c r="Z297" s="49"/>
      <c r="AA297" s="49">
        <v>0</v>
      </c>
      <c r="AB297" s="49">
        <v>1811000</v>
      </c>
      <c r="AC297" s="49">
        <f t="shared" si="81"/>
        <v>0</v>
      </c>
      <c r="AD297" s="49">
        <f>AA297+T297+M297</f>
        <v>1811000</v>
      </c>
      <c r="AE297" s="49"/>
      <c r="AF297" s="49"/>
      <c r="AG297" s="49">
        <v>0</v>
      </c>
      <c r="AH297" s="49"/>
      <c r="AI297" s="49">
        <v>0</v>
      </c>
      <c r="AJ297" s="49">
        <v>0</v>
      </c>
      <c r="AK297" s="49">
        <f>Z297+Y297+X297+W297+N297+AG297+AJ297+AI297+AH297</f>
        <v>1811000</v>
      </c>
      <c r="AL297" s="49">
        <f>AK297/AD297*100</f>
        <v>100</v>
      </c>
      <c r="AM297" s="49"/>
      <c r="AN297" s="49"/>
      <c r="AO297" s="49"/>
      <c r="AP297" s="49"/>
      <c r="AQ297" s="49">
        <f>AK297+AM297+AN297+AO297+AP297</f>
        <v>1811000</v>
      </c>
      <c r="AR297" s="49">
        <f>AQ297/AB297*100</f>
        <v>100</v>
      </c>
      <c r="AS297" s="49">
        <f>AB297-AQ297</f>
        <v>0</v>
      </c>
      <c r="AT297" s="49">
        <v>3091500</v>
      </c>
      <c r="AU297" s="49">
        <f>AT297+U297</f>
        <v>4902500</v>
      </c>
      <c r="AV297" s="49">
        <f>AK297</f>
        <v>1811000</v>
      </c>
      <c r="AW297" s="72">
        <f>AV297/AU297*100</f>
        <v>36.940336562978068</v>
      </c>
      <c r="AX297" s="49">
        <f>AU297-AV297</f>
        <v>3091500</v>
      </c>
      <c r="AY297" s="49">
        <f>AS297/AB297*100</f>
        <v>0</v>
      </c>
      <c r="AZ297" s="73">
        <f t="shared" si="88"/>
        <v>1811000</v>
      </c>
    </row>
    <row r="298" spans="1:52" ht="20.100000000000001" hidden="1" customHeight="1">
      <c r="A298" s="68"/>
      <c r="B298" s="69"/>
      <c r="C298" s="240" t="s">
        <v>490</v>
      </c>
      <c r="D298" s="240"/>
      <c r="E298" s="241"/>
      <c r="F298" s="70"/>
      <c r="G298" s="71"/>
      <c r="H298" s="71"/>
      <c r="I298" s="240" t="s">
        <v>163</v>
      </c>
      <c r="J298" s="240"/>
      <c r="K298" s="241"/>
      <c r="L298" s="49"/>
      <c r="M298" s="49"/>
      <c r="N298" s="49"/>
      <c r="O298" s="49"/>
      <c r="P298" s="49"/>
      <c r="Q298" s="49"/>
      <c r="R298" s="72"/>
      <c r="S298" s="49"/>
      <c r="T298" s="49"/>
      <c r="U298" s="49"/>
      <c r="V298" s="49"/>
      <c r="W298" s="49"/>
      <c r="X298" s="49"/>
      <c r="Y298" s="49"/>
      <c r="Z298" s="49"/>
      <c r="AA298" s="49"/>
      <c r="AB298" s="49"/>
      <c r="AC298" s="49">
        <f t="shared" si="81"/>
        <v>0</v>
      </c>
      <c r="AD298" s="49"/>
      <c r="AE298" s="49"/>
      <c r="AF298" s="49"/>
      <c r="AG298" s="49"/>
      <c r="AH298" s="49"/>
      <c r="AI298" s="49"/>
      <c r="AJ298" s="49"/>
      <c r="AK298" s="49"/>
      <c r="AL298" s="49"/>
      <c r="AM298" s="49"/>
      <c r="AN298" s="49"/>
      <c r="AO298" s="49"/>
      <c r="AP298" s="49"/>
      <c r="AQ298" s="49"/>
      <c r="AR298" s="49"/>
      <c r="AS298" s="49"/>
      <c r="AT298" s="49"/>
      <c r="AU298" s="49"/>
      <c r="AV298" s="49"/>
      <c r="AW298" s="49"/>
      <c r="AX298" s="49"/>
      <c r="AY298" s="49"/>
      <c r="AZ298" s="73">
        <f t="shared" si="88"/>
        <v>0</v>
      </c>
    </row>
    <row r="299" spans="1:52" ht="20.100000000000001" hidden="1" customHeight="1">
      <c r="A299" s="68"/>
      <c r="B299" s="69"/>
      <c r="C299" s="240" t="s">
        <v>491</v>
      </c>
      <c r="D299" s="240"/>
      <c r="E299" s="241"/>
      <c r="F299" s="70"/>
      <c r="G299" s="71"/>
      <c r="H299" s="71"/>
      <c r="I299" s="71"/>
      <c r="J299" s="240" t="s">
        <v>352</v>
      </c>
      <c r="K299" s="241"/>
      <c r="L299" s="49">
        <v>8400000</v>
      </c>
      <c r="M299" s="49">
        <v>4200000</v>
      </c>
      <c r="N299" s="49"/>
      <c r="O299" s="49"/>
      <c r="P299" s="49"/>
      <c r="Q299" s="49">
        <f>SUM(N299:P299)</f>
        <v>0</v>
      </c>
      <c r="R299" s="72">
        <f>Q299/M299*100</f>
        <v>0</v>
      </c>
      <c r="S299" s="49">
        <f>M299-Q299</f>
        <v>4200000</v>
      </c>
      <c r="T299" s="49">
        <v>4200000</v>
      </c>
      <c r="U299" s="49">
        <f>T299+M299</f>
        <v>8400000</v>
      </c>
      <c r="V299" s="49">
        <f>T299+S299</f>
        <v>8400000</v>
      </c>
      <c r="W299" s="49">
        <f>1100000+1750000</f>
        <v>2850000</v>
      </c>
      <c r="X299" s="49"/>
      <c r="Y299" s="49"/>
      <c r="Z299" s="49"/>
      <c r="AA299" s="49">
        <v>0</v>
      </c>
      <c r="AB299" s="49">
        <v>8400000</v>
      </c>
      <c r="AC299" s="49">
        <f t="shared" si="81"/>
        <v>0</v>
      </c>
      <c r="AD299" s="49">
        <f>AA299+T299+M299</f>
        <v>8400000</v>
      </c>
      <c r="AE299" s="49"/>
      <c r="AF299" s="49"/>
      <c r="AG299" s="49">
        <v>0</v>
      </c>
      <c r="AH299" s="49"/>
      <c r="AI299" s="49">
        <v>0</v>
      </c>
      <c r="AJ299" s="49">
        <v>0</v>
      </c>
      <c r="AK299" s="49">
        <f>Z299+Y299+X299+W299+N299+AG299+AJ299+AI299+AH299</f>
        <v>2850000</v>
      </c>
      <c r="AL299" s="49">
        <f>AK299/AD299*100</f>
        <v>33.928571428571431</v>
      </c>
      <c r="AM299" s="49"/>
      <c r="AN299" s="49"/>
      <c r="AO299" s="49"/>
      <c r="AP299" s="49"/>
      <c r="AQ299" s="49">
        <f>AK299+AM299+AN299+AO299+AP299</f>
        <v>2850000</v>
      </c>
      <c r="AR299" s="49">
        <f>AQ299/AB299*100</f>
        <v>33.928571428571431</v>
      </c>
      <c r="AS299" s="49">
        <f>AB299-AQ299</f>
        <v>5550000</v>
      </c>
      <c r="AT299" s="49">
        <v>3091500</v>
      </c>
      <c r="AU299" s="49">
        <f>AT299+U299</f>
        <v>11491500</v>
      </c>
      <c r="AV299" s="49">
        <f>AK299</f>
        <v>2850000</v>
      </c>
      <c r="AW299" s="72">
        <f>AV299/AU299*100</f>
        <v>24.800939825088108</v>
      </c>
      <c r="AX299" s="49">
        <f>AU299-AV299</f>
        <v>8641500</v>
      </c>
      <c r="AY299" s="49">
        <f>AS299/AB299*100</f>
        <v>66.071428571428569</v>
      </c>
      <c r="AZ299" s="73">
        <f t="shared" si="88"/>
        <v>2850000</v>
      </c>
    </row>
    <row r="300" spans="1:52" ht="20.100000000000001" hidden="1" customHeight="1">
      <c r="A300" s="68"/>
      <c r="B300" s="69"/>
      <c r="C300" s="240" t="s">
        <v>492</v>
      </c>
      <c r="D300" s="240"/>
      <c r="E300" s="241"/>
      <c r="F300" s="70"/>
      <c r="G300" s="71"/>
      <c r="H300" s="71"/>
      <c r="I300" s="240" t="s">
        <v>151</v>
      </c>
      <c r="J300" s="240"/>
      <c r="K300" s="241"/>
      <c r="L300" s="49"/>
      <c r="M300" s="49"/>
      <c r="N300" s="49"/>
      <c r="O300" s="49"/>
      <c r="P300" s="49"/>
      <c r="Q300" s="49"/>
      <c r="R300" s="72"/>
      <c r="S300" s="49"/>
      <c r="T300" s="49">
        <v>0</v>
      </c>
      <c r="U300" s="49">
        <f>T300+M300</f>
        <v>0</v>
      </c>
      <c r="V300" s="49">
        <f>T300+S300</f>
        <v>0</v>
      </c>
      <c r="W300" s="49"/>
      <c r="X300" s="49"/>
      <c r="Y300" s="49"/>
      <c r="Z300" s="49"/>
      <c r="AA300" s="49">
        <v>0</v>
      </c>
      <c r="AB300" s="49"/>
      <c r="AC300" s="49">
        <f t="shared" si="81"/>
        <v>0</v>
      </c>
      <c r="AD300" s="49"/>
      <c r="AE300" s="49"/>
      <c r="AF300" s="49"/>
      <c r="AG300" s="49"/>
      <c r="AH300" s="49"/>
      <c r="AI300" s="49"/>
      <c r="AJ300" s="49"/>
      <c r="AK300" s="49"/>
      <c r="AL300" s="49"/>
      <c r="AM300" s="49"/>
      <c r="AN300" s="49"/>
      <c r="AO300" s="49"/>
      <c r="AP300" s="49"/>
      <c r="AQ300" s="49"/>
      <c r="AR300" s="49"/>
      <c r="AS300" s="49"/>
      <c r="AT300" s="49"/>
      <c r="AU300" s="49"/>
      <c r="AV300" s="49"/>
      <c r="AW300" s="49"/>
      <c r="AX300" s="49"/>
      <c r="AY300" s="49"/>
      <c r="AZ300" s="73">
        <f t="shared" si="88"/>
        <v>0</v>
      </c>
    </row>
    <row r="301" spans="1:52" ht="20.100000000000001" hidden="1" customHeight="1">
      <c r="A301" s="68"/>
      <c r="B301" s="69"/>
      <c r="C301" s="240" t="s">
        <v>493</v>
      </c>
      <c r="D301" s="240"/>
      <c r="E301" s="241"/>
      <c r="F301" s="70"/>
      <c r="G301" s="71"/>
      <c r="H301" s="71"/>
      <c r="I301" s="71"/>
      <c r="J301" s="240" t="s">
        <v>155</v>
      </c>
      <c r="K301" s="241"/>
      <c r="L301" s="49">
        <v>1260000</v>
      </c>
      <c r="M301" s="49">
        <v>1260000</v>
      </c>
      <c r="N301" s="49"/>
      <c r="O301" s="49"/>
      <c r="P301" s="49"/>
      <c r="Q301" s="49">
        <f>SUM(N301:P301)</f>
        <v>0</v>
      </c>
      <c r="R301" s="72">
        <f>Q301/M301*100</f>
        <v>0</v>
      </c>
      <c r="S301" s="49">
        <f>M301-Q301</f>
        <v>1260000</v>
      </c>
      <c r="T301" s="49">
        <v>0</v>
      </c>
      <c r="U301" s="49">
        <f>T301+M301</f>
        <v>1260000</v>
      </c>
      <c r="V301" s="49">
        <f>T301+S301</f>
        <v>1260000</v>
      </c>
      <c r="W301" s="49">
        <v>1260000</v>
      </c>
      <c r="X301" s="49"/>
      <c r="Y301" s="49"/>
      <c r="Z301" s="49"/>
      <c r="AA301" s="49">
        <v>0</v>
      </c>
      <c r="AB301" s="49">
        <v>1260000</v>
      </c>
      <c r="AC301" s="49">
        <f t="shared" si="81"/>
        <v>0</v>
      </c>
      <c r="AD301" s="49">
        <f>AA301+T301+M301</f>
        <v>1260000</v>
      </c>
      <c r="AE301" s="49"/>
      <c r="AF301" s="49"/>
      <c r="AG301" s="49">
        <v>0</v>
      </c>
      <c r="AH301" s="49"/>
      <c r="AI301" s="49">
        <v>0</v>
      </c>
      <c r="AJ301" s="49">
        <v>0</v>
      </c>
      <c r="AK301" s="49">
        <f>Z301+Y301+X301+W301+N301+AG301+AJ301+AI301+AH301</f>
        <v>1260000</v>
      </c>
      <c r="AL301" s="49">
        <f>AK301/AD301*100</f>
        <v>100</v>
      </c>
      <c r="AM301" s="49"/>
      <c r="AN301" s="49"/>
      <c r="AO301" s="49"/>
      <c r="AP301" s="49"/>
      <c r="AQ301" s="49">
        <f>AK301+AM301+AN301+AO301+AP301</f>
        <v>1260000</v>
      </c>
      <c r="AR301" s="49">
        <f>AQ301/AB301*100</f>
        <v>100</v>
      </c>
      <c r="AS301" s="49">
        <f>AB301-AQ301</f>
        <v>0</v>
      </c>
      <c r="AT301" s="49">
        <v>3091500</v>
      </c>
      <c r="AU301" s="49">
        <f>AT301+U301</f>
        <v>4351500</v>
      </c>
      <c r="AV301" s="49">
        <f>AK301</f>
        <v>1260000</v>
      </c>
      <c r="AW301" s="72">
        <f>AV301/AU301*100</f>
        <v>28.955532574974146</v>
      </c>
      <c r="AX301" s="49">
        <f>AU301-AV301</f>
        <v>3091500</v>
      </c>
      <c r="AY301" s="49">
        <f>AS301/AB301*100</f>
        <v>0</v>
      </c>
      <c r="AZ301" s="73">
        <f t="shared" si="88"/>
        <v>1260000</v>
      </c>
    </row>
    <row r="302" spans="1:52" ht="20.100000000000001" hidden="1" customHeight="1">
      <c r="A302" s="68"/>
      <c r="B302" s="69"/>
      <c r="C302" s="240" t="s">
        <v>494</v>
      </c>
      <c r="D302" s="240"/>
      <c r="E302" s="241"/>
      <c r="F302" s="70"/>
      <c r="G302" s="71"/>
      <c r="H302" s="71"/>
      <c r="I302" s="240" t="s">
        <v>193</v>
      </c>
      <c r="J302" s="240"/>
      <c r="K302" s="241"/>
      <c r="L302" s="49"/>
      <c r="M302" s="49"/>
      <c r="N302" s="49"/>
      <c r="O302" s="49"/>
      <c r="P302" s="49"/>
      <c r="Q302" s="49"/>
      <c r="R302" s="72"/>
      <c r="S302" s="49"/>
      <c r="T302" s="49"/>
      <c r="U302" s="49"/>
      <c r="V302" s="49"/>
      <c r="W302" s="49"/>
      <c r="X302" s="49"/>
      <c r="Y302" s="49"/>
      <c r="Z302" s="49"/>
      <c r="AA302" s="49"/>
      <c r="AB302" s="49"/>
      <c r="AC302" s="49">
        <f t="shared" si="81"/>
        <v>0</v>
      </c>
      <c r="AD302" s="49"/>
      <c r="AE302" s="49"/>
      <c r="AF302" s="49"/>
      <c r="AG302" s="49"/>
      <c r="AH302" s="49"/>
      <c r="AI302" s="49"/>
      <c r="AJ302" s="49"/>
      <c r="AK302" s="49"/>
      <c r="AL302" s="49"/>
      <c r="AM302" s="49"/>
      <c r="AN302" s="49"/>
      <c r="AO302" s="49"/>
      <c r="AP302" s="49"/>
      <c r="AQ302" s="49"/>
      <c r="AR302" s="49"/>
      <c r="AS302" s="49"/>
      <c r="AT302" s="49"/>
      <c r="AU302" s="49"/>
      <c r="AV302" s="49"/>
      <c r="AW302" s="49"/>
      <c r="AX302" s="49"/>
      <c r="AY302" s="49"/>
      <c r="AZ302" s="73">
        <f t="shared" si="88"/>
        <v>0</v>
      </c>
    </row>
    <row r="303" spans="1:52" ht="20.100000000000001" hidden="1" customHeight="1">
      <c r="A303" s="68"/>
      <c r="B303" s="69"/>
      <c r="C303" s="240" t="s">
        <v>495</v>
      </c>
      <c r="D303" s="240"/>
      <c r="E303" s="241"/>
      <c r="F303" s="70"/>
      <c r="G303" s="71"/>
      <c r="H303" s="71"/>
      <c r="I303" s="71"/>
      <c r="J303" s="240" t="s">
        <v>195</v>
      </c>
      <c r="K303" s="241"/>
      <c r="L303" s="49">
        <v>4020000</v>
      </c>
      <c r="M303" s="49">
        <v>2010000</v>
      </c>
      <c r="N303" s="49"/>
      <c r="O303" s="49"/>
      <c r="P303" s="49"/>
      <c r="Q303" s="49">
        <f>SUM(N303:P303)</f>
        <v>0</v>
      </c>
      <c r="R303" s="72">
        <f>Q303/M303*100</f>
        <v>0</v>
      </c>
      <c r="S303" s="49">
        <f>M303-Q303</f>
        <v>2010000</v>
      </c>
      <c r="T303" s="49">
        <v>2010000</v>
      </c>
      <c r="U303" s="49">
        <f>T303+M303</f>
        <v>4020000</v>
      </c>
      <c r="V303" s="49">
        <f>T303+S303</f>
        <v>4020000</v>
      </c>
      <c r="W303" s="49">
        <f>2010000+2010000</f>
        <v>4020000</v>
      </c>
      <c r="X303" s="49"/>
      <c r="Y303" s="49"/>
      <c r="Z303" s="49"/>
      <c r="AA303" s="49">
        <v>0</v>
      </c>
      <c r="AB303" s="49">
        <v>4020000</v>
      </c>
      <c r="AC303" s="49">
        <f t="shared" si="81"/>
        <v>0</v>
      </c>
      <c r="AD303" s="49">
        <f>AA303+T303+M303</f>
        <v>4020000</v>
      </c>
      <c r="AE303" s="49"/>
      <c r="AF303" s="49"/>
      <c r="AG303" s="49">
        <v>0</v>
      </c>
      <c r="AH303" s="49"/>
      <c r="AI303" s="49">
        <v>0</v>
      </c>
      <c r="AJ303" s="49">
        <v>0</v>
      </c>
      <c r="AK303" s="49">
        <f>Z303+Y303+X303+W303+N303+AG303+AJ303+AI303+AH303</f>
        <v>4020000</v>
      </c>
      <c r="AL303" s="49">
        <f>AK303/AD303*100</f>
        <v>100</v>
      </c>
      <c r="AM303" s="49"/>
      <c r="AN303" s="49"/>
      <c r="AO303" s="49"/>
      <c r="AP303" s="49"/>
      <c r="AQ303" s="49">
        <f>AK303+AM303+AN303+AO303+AP303</f>
        <v>4020000</v>
      </c>
      <c r="AR303" s="49">
        <f>AQ303/AB303*100</f>
        <v>100</v>
      </c>
      <c r="AS303" s="49">
        <f>AB303-AQ303</f>
        <v>0</v>
      </c>
      <c r="AT303" s="49">
        <v>3091500</v>
      </c>
      <c r="AU303" s="49">
        <f>AT303+U303</f>
        <v>7111500</v>
      </c>
      <c r="AV303" s="49">
        <f>AK303</f>
        <v>4020000</v>
      </c>
      <c r="AW303" s="72">
        <f>AV303/AU303*100</f>
        <v>56.528158616325676</v>
      </c>
      <c r="AX303" s="49">
        <f>AU303-AV303</f>
        <v>3091500</v>
      </c>
      <c r="AY303" s="49">
        <f>AS303/AB303*100</f>
        <v>0</v>
      </c>
      <c r="AZ303" s="73">
        <f t="shared" si="88"/>
        <v>4020000</v>
      </c>
    </row>
    <row r="304" spans="1:52" ht="20.100000000000001" hidden="1" customHeight="1">
      <c r="A304" s="68"/>
      <c r="B304" s="69"/>
      <c r="C304" s="240" t="s">
        <v>496</v>
      </c>
      <c r="D304" s="240"/>
      <c r="E304" s="241"/>
      <c r="F304" s="70"/>
      <c r="G304" s="71"/>
      <c r="H304" s="71"/>
      <c r="I304" s="240" t="s">
        <v>157</v>
      </c>
      <c r="J304" s="240"/>
      <c r="K304" s="241"/>
      <c r="L304" s="49"/>
      <c r="M304" s="49"/>
      <c r="N304" s="49"/>
      <c r="O304" s="49"/>
      <c r="P304" s="49"/>
      <c r="Q304" s="49"/>
      <c r="R304" s="72"/>
      <c r="S304" s="49"/>
      <c r="T304" s="49"/>
      <c r="U304" s="49"/>
      <c r="V304" s="49"/>
      <c r="W304" s="49"/>
      <c r="X304" s="49"/>
      <c r="Y304" s="49"/>
      <c r="Z304" s="49"/>
      <c r="AA304" s="49"/>
      <c r="AB304" s="49"/>
      <c r="AC304" s="49">
        <f t="shared" si="81"/>
        <v>0</v>
      </c>
      <c r="AD304" s="49"/>
      <c r="AE304" s="49"/>
      <c r="AF304" s="49"/>
      <c r="AG304" s="49"/>
      <c r="AH304" s="49"/>
      <c r="AI304" s="49"/>
      <c r="AJ304" s="49"/>
      <c r="AK304" s="49"/>
      <c r="AL304" s="49"/>
      <c r="AM304" s="49"/>
      <c r="AN304" s="49"/>
      <c r="AO304" s="49"/>
      <c r="AP304" s="49"/>
      <c r="AQ304" s="49"/>
      <c r="AR304" s="49"/>
      <c r="AS304" s="49"/>
      <c r="AT304" s="49"/>
      <c r="AU304" s="49"/>
      <c r="AV304" s="49"/>
      <c r="AW304" s="49"/>
      <c r="AX304" s="49"/>
      <c r="AY304" s="49"/>
      <c r="AZ304" s="73">
        <f t="shared" si="88"/>
        <v>0</v>
      </c>
    </row>
    <row r="305" spans="1:54" ht="20.100000000000001" hidden="1" customHeight="1">
      <c r="A305" s="68"/>
      <c r="B305" s="69"/>
      <c r="C305" s="240" t="s">
        <v>497</v>
      </c>
      <c r="D305" s="240"/>
      <c r="E305" s="241"/>
      <c r="F305" s="70"/>
      <c r="G305" s="71"/>
      <c r="H305" s="71"/>
      <c r="I305" s="71"/>
      <c r="J305" s="240" t="s">
        <v>159</v>
      </c>
      <c r="K305" s="241"/>
      <c r="L305" s="49">
        <v>10000000</v>
      </c>
      <c r="M305" s="49">
        <v>2500000</v>
      </c>
      <c r="N305" s="49"/>
      <c r="O305" s="49"/>
      <c r="P305" s="49"/>
      <c r="Q305" s="49">
        <f>SUM(N305:P305)</f>
        <v>0</v>
      </c>
      <c r="R305" s="72">
        <f>Q305/M305*100</f>
        <v>0</v>
      </c>
      <c r="S305" s="49">
        <f>M305-Q305</f>
        <v>2500000</v>
      </c>
      <c r="T305" s="49">
        <v>7500000</v>
      </c>
      <c r="U305" s="49">
        <f>T305+M305</f>
        <v>10000000</v>
      </c>
      <c r="V305" s="49">
        <f>T305+S305</f>
        <v>10000000</v>
      </c>
      <c r="W305" s="49">
        <f>2210000+2450000</f>
        <v>4660000</v>
      </c>
      <c r="X305" s="49"/>
      <c r="Y305" s="49"/>
      <c r="Z305" s="49"/>
      <c r="AA305" s="49">
        <v>0</v>
      </c>
      <c r="AB305" s="49">
        <v>10000000</v>
      </c>
      <c r="AC305" s="49">
        <f t="shared" ref="AC305:AC368" si="89">AB305-L305</f>
        <v>0</v>
      </c>
      <c r="AD305" s="49">
        <f>AA305+T305+M305</f>
        <v>10000000</v>
      </c>
      <c r="AE305" s="49"/>
      <c r="AF305" s="49"/>
      <c r="AG305" s="49">
        <v>0</v>
      </c>
      <c r="AH305" s="49"/>
      <c r="AI305" s="49">
        <v>0</v>
      </c>
      <c r="AJ305" s="49">
        <v>0</v>
      </c>
      <c r="AK305" s="49">
        <f>Z305+Y305+X305+W305+N305+AG305+AJ305+AI305+AH305</f>
        <v>4660000</v>
      </c>
      <c r="AL305" s="49">
        <f>AK305/AD305*100</f>
        <v>46.6</v>
      </c>
      <c r="AM305" s="48"/>
      <c r="AN305" s="49"/>
      <c r="AO305" s="49"/>
      <c r="AP305" s="49"/>
      <c r="AQ305" s="49">
        <f>AK305+AM305+AN305+AO305+AP305</f>
        <v>4660000</v>
      </c>
      <c r="AR305" s="49">
        <f>AQ305/AB305*100</f>
        <v>46.6</v>
      </c>
      <c r="AS305" s="49">
        <f>AB305-AQ305</f>
        <v>5340000</v>
      </c>
      <c r="AT305" s="49">
        <v>3091500</v>
      </c>
      <c r="AU305" s="49">
        <f>AT305+U305</f>
        <v>13091500</v>
      </c>
      <c r="AV305" s="49">
        <f>AK305</f>
        <v>4660000</v>
      </c>
      <c r="AW305" s="72">
        <f>AV305/AU305*100</f>
        <v>35.595615475690337</v>
      </c>
      <c r="AX305" s="49">
        <f>AU305-AV305</f>
        <v>8431500</v>
      </c>
      <c r="AY305" s="49">
        <f>AS305/AB305*100</f>
        <v>53.400000000000006</v>
      </c>
      <c r="AZ305" s="73">
        <f t="shared" si="88"/>
        <v>4660000</v>
      </c>
    </row>
    <row r="306" spans="1:54" ht="20.100000000000001" hidden="1" customHeight="1">
      <c r="A306" s="68"/>
      <c r="B306" s="69"/>
      <c r="C306" s="240" t="s">
        <v>498</v>
      </c>
      <c r="D306" s="240"/>
      <c r="E306" s="241"/>
      <c r="F306" s="70"/>
      <c r="G306" s="71"/>
      <c r="H306" s="71"/>
      <c r="I306" s="71"/>
      <c r="J306" s="240" t="s">
        <v>207</v>
      </c>
      <c r="K306" s="241"/>
      <c r="L306" s="49">
        <v>6855000</v>
      </c>
      <c r="M306" s="49">
        <v>0</v>
      </c>
      <c r="N306" s="49"/>
      <c r="O306" s="49"/>
      <c r="P306" s="49"/>
      <c r="Q306" s="49">
        <f>SUM(N306:P306)</f>
        <v>0</v>
      </c>
      <c r="R306" s="72"/>
      <c r="S306" s="49">
        <f>M306-Q306</f>
        <v>0</v>
      </c>
      <c r="T306" s="49">
        <v>6855000</v>
      </c>
      <c r="U306" s="49">
        <f>T306+M306</f>
        <v>6855000</v>
      </c>
      <c r="V306" s="49">
        <f>T306+S306</f>
        <v>6855000</v>
      </c>
      <c r="W306" s="49"/>
      <c r="X306" s="49"/>
      <c r="Y306" s="49"/>
      <c r="Z306" s="49"/>
      <c r="AA306" s="49">
        <v>0</v>
      </c>
      <c r="AB306" s="49">
        <v>6855000</v>
      </c>
      <c r="AC306" s="49">
        <f t="shared" si="89"/>
        <v>0</v>
      </c>
      <c r="AD306" s="49">
        <f>AA306+T306+M306</f>
        <v>6855000</v>
      </c>
      <c r="AE306" s="49"/>
      <c r="AF306" s="49"/>
      <c r="AG306" s="49"/>
      <c r="AH306" s="49"/>
      <c r="AI306" s="49"/>
      <c r="AJ306" s="49"/>
      <c r="AK306" s="49">
        <f>Z306+Y306+X306+W306+N306+AG306+AJ306+AI306+AH306</f>
        <v>0</v>
      </c>
      <c r="AL306" s="49">
        <f>AK306/AD306*100</f>
        <v>0</v>
      </c>
      <c r="AM306" s="48"/>
      <c r="AN306" s="49"/>
      <c r="AO306" s="49"/>
      <c r="AP306" s="49"/>
      <c r="AQ306" s="49">
        <f>AK306+AM306+AN306+AO306+AP306</f>
        <v>0</v>
      </c>
      <c r="AR306" s="49">
        <f>AQ306/AB306*100</f>
        <v>0</v>
      </c>
      <c r="AS306" s="49">
        <f>AB306-AQ306</f>
        <v>6855000</v>
      </c>
      <c r="AT306" s="49">
        <v>3091500</v>
      </c>
      <c r="AU306" s="49">
        <f>AT306+U306</f>
        <v>9946500</v>
      </c>
      <c r="AV306" s="49">
        <f>AK306</f>
        <v>0</v>
      </c>
      <c r="AW306" s="72">
        <f>AV306/AU306*100</f>
        <v>0</v>
      </c>
      <c r="AX306" s="49">
        <f>AU306-AV306</f>
        <v>9946500</v>
      </c>
      <c r="AY306" s="49">
        <f>AS306/AB306*100</f>
        <v>100</v>
      </c>
      <c r="AZ306" s="73">
        <f t="shared" si="88"/>
        <v>0</v>
      </c>
      <c r="BB306" s="29">
        <f>AS306</f>
        <v>6855000</v>
      </c>
    </row>
    <row r="307" spans="1:54" ht="20.100000000000001" hidden="1" customHeight="1">
      <c r="A307" s="68"/>
      <c r="B307" s="69"/>
      <c r="C307" s="240" t="s">
        <v>499</v>
      </c>
      <c r="D307" s="240"/>
      <c r="E307" s="241"/>
      <c r="F307" s="70"/>
      <c r="G307" s="71"/>
      <c r="H307" s="71"/>
      <c r="I307" s="240" t="s">
        <v>402</v>
      </c>
      <c r="J307" s="240"/>
      <c r="K307" s="241"/>
      <c r="L307" s="49"/>
      <c r="M307" s="49"/>
      <c r="N307" s="49"/>
      <c r="O307" s="49"/>
      <c r="P307" s="49"/>
      <c r="Q307" s="49"/>
      <c r="R307" s="72"/>
      <c r="S307" s="49"/>
      <c r="T307" s="49"/>
      <c r="U307" s="49"/>
      <c r="V307" s="49"/>
      <c r="W307" s="49"/>
      <c r="X307" s="49"/>
      <c r="Y307" s="49"/>
      <c r="Z307" s="49"/>
      <c r="AA307" s="49"/>
      <c r="AB307" s="49"/>
      <c r="AC307" s="49">
        <f t="shared" si="89"/>
        <v>0</v>
      </c>
      <c r="AD307" s="49"/>
      <c r="AE307" s="49"/>
      <c r="AF307" s="49"/>
      <c r="AG307" s="49"/>
      <c r="AH307" s="49"/>
      <c r="AI307" s="49"/>
      <c r="AJ307" s="49"/>
      <c r="AK307" s="49"/>
      <c r="AL307" s="49"/>
      <c r="AM307" s="49"/>
      <c r="AN307" s="49"/>
      <c r="AO307" s="49"/>
      <c r="AP307" s="49"/>
      <c r="AQ307" s="49"/>
      <c r="AR307" s="49"/>
      <c r="AS307" s="49"/>
      <c r="AT307" s="49"/>
      <c r="AU307" s="49"/>
      <c r="AV307" s="49"/>
      <c r="AW307" s="49"/>
      <c r="AX307" s="49"/>
      <c r="AY307" s="49"/>
      <c r="AZ307" s="73">
        <f t="shared" si="88"/>
        <v>0</v>
      </c>
    </row>
    <row r="308" spans="1:54" ht="20.100000000000001" hidden="1" customHeight="1">
      <c r="A308" s="68"/>
      <c r="B308" s="69"/>
      <c r="C308" s="240" t="s">
        <v>500</v>
      </c>
      <c r="D308" s="240"/>
      <c r="E308" s="241"/>
      <c r="F308" s="70"/>
      <c r="G308" s="71"/>
      <c r="H308" s="71"/>
      <c r="I308" s="71"/>
      <c r="J308" s="240" t="s">
        <v>404</v>
      </c>
      <c r="K308" s="241"/>
      <c r="L308" s="49">
        <v>1800000</v>
      </c>
      <c r="M308" s="49">
        <v>900000</v>
      </c>
      <c r="N308" s="49"/>
      <c r="O308" s="49"/>
      <c r="P308" s="49"/>
      <c r="Q308" s="49">
        <f>SUM(N308:P308)</f>
        <v>0</v>
      </c>
      <c r="R308" s="72">
        <f>Q308/M308*100</f>
        <v>0</v>
      </c>
      <c r="S308" s="49">
        <f>M308-Q308</f>
        <v>900000</v>
      </c>
      <c r="T308" s="49">
        <v>900000</v>
      </c>
      <c r="U308" s="49">
        <f>T308+M308</f>
        <v>1800000</v>
      </c>
      <c r="V308" s="49">
        <f>T308+S308</f>
        <v>1800000</v>
      </c>
      <c r="W308" s="49">
        <f>600000+600000</f>
        <v>1200000</v>
      </c>
      <c r="X308" s="49"/>
      <c r="Y308" s="49"/>
      <c r="Z308" s="49"/>
      <c r="AA308" s="49">
        <v>0</v>
      </c>
      <c r="AB308" s="49">
        <v>1800000</v>
      </c>
      <c r="AC308" s="49">
        <f t="shared" si="89"/>
        <v>0</v>
      </c>
      <c r="AD308" s="49">
        <f>AA308+T308+M308</f>
        <v>1800000</v>
      </c>
      <c r="AE308" s="49"/>
      <c r="AF308" s="49"/>
      <c r="AG308" s="49">
        <v>0</v>
      </c>
      <c r="AH308" s="49"/>
      <c r="AI308" s="49">
        <v>0</v>
      </c>
      <c r="AJ308" s="49">
        <v>0</v>
      </c>
      <c r="AK308" s="49">
        <f>Z308+Y308+X308+W308+N308+AG308+AJ308+AI308+AH308</f>
        <v>1200000</v>
      </c>
      <c r="AL308" s="49">
        <f>AK308/AD308*100</f>
        <v>66.666666666666657</v>
      </c>
      <c r="AM308" s="49"/>
      <c r="AN308" s="49"/>
      <c r="AO308" s="49"/>
      <c r="AP308" s="49"/>
      <c r="AQ308" s="49">
        <f>AK308+AM308+AN308+AO308+AP308</f>
        <v>1200000</v>
      </c>
      <c r="AR308" s="49">
        <f>AQ308/AB308*100</f>
        <v>66.666666666666657</v>
      </c>
      <c r="AS308" s="49">
        <f>AB308-AQ308</f>
        <v>600000</v>
      </c>
      <c r="AT308" s="49">
        <v>3091500</v>
      </c>
      <c r="AU308" s="49">
        <f>AT308+U308</f>
        <v>4891500</v>
      </c>
      <c r="AV308" s="49">
        <f>AK308</f>
        <v>1200000</v>
      </c>
      <c r="AW308" s="72">
        <f>AV308/AU308*100</f>
        <v>24.532352039251762</v>
      </c>
      <c r="AX308" s="49">
        <f>AU308-AV308</f>
        <v>3691500</v>
      </c>
      <c r="AY308" s="49">
        <f>AS308/AB308*100</f>
        <v>33.333333333333329</v>
      </c>
      <c r="AZ308" s="73">
        <f t="shared" si="88"/>
        <v>1200000</v>
      </c>
    </row>
    <row r="309" spans="1:54" ht="20.100000000000001" customHeight="1">
      <c r="A309" s="62">
        <v>22</v>
      </c>
      <c r="B309" s="63"/>
      <c r="C309" s="242" t="s">
        <v>461</v>
      </c>
      <c r="D309" s="242"/>
      <c r="E309" s="243"/>
      <c r="F309" s="64"/>
      <c r="G309" s="244" t="s">
        <v>20</v>
      </c>
      <c r="H309" s="244"/>
      <c r="I309" s="244"/>
      <c r="J309" s="244"/>
      <c r="K309" s="245"/>
      <c r="L309" s="65">
        <f>SUM(L312:L328)</f>
        <v>27984000</v>
      </c>
      <c r="M309" s="65">
        <f>SUM(M312:M328)</f>
        <v>0</v>
      </c>
      <c r="N309" s="65">
        <f>SUM(N312:N328)</f>
        <v>0</v>
      </c>
      <c r="O309" s="65">
        <f>SUM(O312:O328)</f>
        <v>0</v>
      </c>
      <c r="P309" s="65">
        <f>SUM(P312:P328)</f>
        <v>0</v>
      </c>
      <c r="Q309" s="65">
        <f>SUM(N309:P309)</f>
        <v>0</v>
      </c>
      <c r="R309" s="66"/>
      <c r="S309" s="65">
        <f>M309-Q309</f>
        <v>0</v>
      </c>
      <c r="T309" s="65">
        <f>SUM(T312:T328)</f>
        <v>0</v>
      </c>
      <c r="U309" s="65">
        <f>T309+M309</f>
        <v>0</v>
      </c>
      <c r="V309" s="65">
        <f>T309+S309</f>
        <v>0</v>
      </c>
      <c r="W309" s="65">
        <f>SUM(W312:W328)</f>
        <v>0</v>
      </c>
      <c r="X309" s="65">
        <f>SUM(X312:X328)</f>
        <v>0</v>
      </c>
      <c r="Y309" s="65">
        <f>SUM(Y312:Y328)</f>
        <v>0</v>
      </c>
      <c r="Z309" s="65"/>
      <c r="AA309" s="65">
        <f>SUM(AA312:AA328)</f>
        <v>27984000</v>
      </c>
      <c r="AB309" s="65">
        <f>SUM(AB312:AB328)</f>
        <v>27984000</v>
      </c>
      <c r="AC309" s="65">
        <f t="shared" si="89"/>
        <v>0</v>
      </c>
      <c r="AD309" s="65">
        <f>AA309+T309+M309</f>
        <v>27984000</v>
      </c>
      <c r="AE309" s="65">
        <f t="shared" ref="AE309:AK309" si="90">SUM(AE312:AE328)</f>
        <v>0</v>
      </c>
      <c r="AF309" s="65">
        <f t="shared" si="90"/>
        <v>0</v>
      </c>
      <c r="AG309" s="65">
        <f t="shared" si="90"/>
        <v>0</v>
      </c>
      <c r="AH309" s="65">
        <f t="shared" si="90"/>
        <v>0</v>
      </c>
      <c r="AI309" s="65">
        <f t="shared" si="90"/>
        <v>0</v>
      </c>
      <c r="AJ309" s="65">
        <f t="shared" si="90"/>
        <v>0</v>
      </c>
      <c r="AK309" s="65">
        <f t="shared" si="90"/>
        <v>0</v>
      </c>
      <c r="AL309" s="65">
        <f>AK309/AB309*100</f>
        <v>0</v>
      </c>
      <c r="AM309" s="65">
        <f>SUM(AM312:AM328)</f>
        <v>0</v>
      </c>
      <c r="AN309" s="65">
        <f>SUM(AN312:AN328)</f>
        <v>0</v>
      </c>
      <c r="AO309" s="42">
        <f>SUM(AO312:AO328)</f>
        <v>25123850</v>
      </c>
      <c r="AP309" s="65">
        <f>SUM(AP312:AP328)</f>
        <v>0</v>
      </c>
      <c r="AQ309" s="65">
        <f>AK309+AM309+AN309+AO309+AP309</f>
        <v>25123850</v>
      </c>
      <c r="AR309" s="65">
        <f>AQ309/AB309*100</f>
        <v>89.779338193253295</v>
      </c>
      <c r="AS309" s="65">
        <f>AB309-AQ309</f>
        <v>2860150</v>
      </c>
      <c r="AT309" s="65">
        <f>SUM(AT312:AT318)</f>
        <v>12366000</v>
      </c>
      <c r="AU309" s="65">
        <f>AT309+U309</f>
        <v>12366000</v>
      </c>
      <c r="AV309" s="65">
        <f>AK309</f>
        <v>0</v>
      </c>
      <c r="AW309" s="66">
        <f>AV309/AU309*100</f>
        <v>0</v>
      </c>
      <c r="AX309" s="65">
        <f>AU309-AV309</f>
        <v>12366000</v>
      </c>
      <c r="AY309" s="65">
        <f>AS309/AB309*100</f>
        <v>10.220661806746714</v>
      </c>
      <c r="AZ309" s="67">
        <f t="shared" si="88"/>
        <v>0</v>
      </c>
    </row>
    <row r="310" spans="1:54" ht="20.100000000000001" hidden="1" customHeight="1">
      <c r="A310" s="68"/>
      <c r="B310" s="69"/>
      <c r="C310" s="240" t="s">
        <v>463</v>
      </c>
      <c r="D310" s="240"/>
      <c r="E310" s="241"/>
      <c r="F310" s="70"/>
      <c r="G310" s="71"/>
      <c r="H310" s="240" t="s">
        <v>10</v>
      </c>
      <c r="I310" s="240"/>
      <c r="J310" s="240"/>
      <c r="K310" s="241"/>
      <c r="L310" s="49"/>
      <c r="M310" s="49"/>
      <c r="N310" s="49"/>
      <c r="O310" s="49"/>
      <c r="P310" s="49"/>
      <c r="Q310" s="49"/>
      <c r="R310" s="72"/>
      <c r="S310" s="49"/>
      <c r="T310" s="49"/>
      <c r="U310" s="49"/>
      <c r="V310" s="49"/>
      <c r="W310" s="49"/>
      <c r="X310" s="49"/>
      <c r="Y310" s="49"/>
      <c r="Z310" s="49"/>
      <c r="AA310" s="49"/>
      <c r="AB310" s="49"/>
      <c r="AC310" s="49">
        <f t="shared" si="89"/>
        <v>0</v>
      </c>
      <c r="AD310" s="49"/>
      <c r="AE310" s="49"/>
      <c r="AF310" s="49"/>
      <c r="AG310" s="49"/>
      <c r="AH310" s="49"/>
      <c r="AI310" s="49"/>
      <c r="AJ310" s="49"/>
      <c r="AK310" s="49"/>
      <c r="AL310" s="49"/>
      <c r="AM310" s="49"/>
      <c r="AN310" s="49"/>
      <c r="AO310" s="49"/>
      <c r="AP310" s="49"/>
      <c r="AQ310" s="49"/>
      <c r="AR310" s="49"/>
      <c r="AS310" s="49"/>
      <c r="AT310" s="49"/>
      <c r="AU310" s="49"/>
      <c r="AV310" s="49"/>
      <c r="AW310" s="49"/>
      <c r="AX310" s="49"/>
      <c r="AY310" s="49"/>
      <c r="AZ310" s="73">
        <f t="shared" si="88"/>
        <v>0</v>
      </c>
    </row>
    <row r="311" spans="1:54" ht="20.100000000000001" hidden="1" customHeight="1">
      <c r="A311" s="68"/>
      <c r="B311" s="69"/>
      <c r="C311" s="240" t="s">
        <v>464</v>
      </c>
      <c r="D311" s="240"/>
      <c r="E311" s="241"/>
      <c r="F311" s="70"/>
      <c r="G311" s="71"/>
      <c r="H311" s="71"/>
      <c r="I311" s="240" t="s">
        <v>177</v>
      </c>
      <c r="J311" s="240"/>
      <c r="K311" s="241"/>
      <c r="L311" s="49"/>
      <c r="M311" s="49"/>
      <c r="N311" s="49"/>
      <c r="O311" s="49"/>
      <c r="P311" s="49"/>
      <c r="Q311" s="49"/>
      <c r="R311" s="72"/>
      <c r="S311" s="49"/>
      <c r="T311" s="49"/>
      <c r="U311" s="49"/>
      <c r="V311" s="49"/>
      <c r="W311" s="49"/>
      <c r="X311" s="49"/>
      <c r="Y311" s="49"/>
      <c r="Z311" s="49"/>
      <c r="AA311" s="49"/>
      <c r="AB311" s="49"/>
      <c r="AC311" s="49">
        <f t="shared" si="89"/>
        <v>0</v>
      </c>
      <c r="AD311" s="49"/>
      <c r="AE311" s="49"/>
      <c r="AF311" s="49"/>
      <c r="AG311" s="49"/>
      <c r="AH311" s="49"/>
      <c r="AI311" s="49"/>
      <c r="AJ311" s="49"/>
      <c r="AK311" s="49"/>
      <c r="AL311" s="49"/>
      <c r="AM311" s="49"/>
      <c r="AN311" s="49"/>
      <c r="AO311" s="49"/>
      <c r="AP311" s="49"/>
      <c r="AQ311" s="49"/>
      <c r="AR311" s="49"/>
      <c r="AS311" s="49"/>
      <c r="AT311" s="49"/>
      <c r="AU311" s="49"/>
      <c r="AV311" s="49"/>
      <c r="AW311" s="49"/>
      <c r="AX311" s="49"/>
      <c r="AY311" s="49"/>
      <c r="AZ311" s="73">
        <f t="shared" si="88"/>
        <v>0</v>
      </c>
    </row>
    <row r="312" spans="1:54" ht="20.100000000000001" hidden="1" customHeight="1">
      <c r="A312" s="68"/>
      <c r="B312" s="69"/>
      <c r="C312" s="240" t="s">
        <v>465</v>
      </c>
      <c r="D312" s="240"/>
      <c r="E312" s="241"/>
      <c r="F312" s="70"/>
      <c r="G312" s="71"/>
      <c r="H312" s="71"/>
      <c r="I312" s="71"/>
      <c r="J312" s="240" t="s">
        <v>283</v>
      </c>
      <c r="K312" s="241"/>
      <c r="L312" s="49">
        <v>2300000</v>
      </c>
      <c r="M312" s="49">
        <v>0</v>
      </c>
      <c r="N312" s="49"/>
      <c r="O312" s="49"/>
      <c r="P312" s="49"/>
      <c r="Q312" s="49">
        <f>SUM(N312:P312)</f>
        <v>0</v>
      </c>
      <c r="R312" s="72"/>
      <c r="S312" s="49">
        <f>M312-Q312</f>
        <v>0</v>
      </c>
      <c r="T312" s="49">
        <v>0</v>
      </c>
      <c r="U312" s="49">
        <f>T312+M312</f>
        <v>0</v>
      </c>
      <c r="V312" s="49">
        <f>T312+S312</f>
        <v>0</v>
      </c>
      <c r="W312" s="49"/>
      <c r="X312" s="49"/>
      <c r="Y312" s="49"/>
      <c r="Z312" s="49"/>
      <c r="AA312" s="49">
        <v>2300000</v>
      </c>
      <c r="AB312" s="49">
        <v>2300000</v>
      </c>
      <c r="AC312" s="49">
        <f t="shared" si="89"/>
        <v>0</v>
      </c>
      <c r="AD312" s="49">
        <f>AA312+T312+M312</f>
        <v>2300000</v>
      </c>
      <c r="AE312" s="49"/>
      <c r="AF312" s="49"/>
      <c r="AG312" s="49"/>
      <c r="AH312" s="49"/>
      <c r="AI312" s="49"/>
      <c r="AJ312" s="49"/>
      <c r="AK312" s="49">
        <f>Z312+Y312+X312+W312+N312+AG312+AJ312+AI312+AH312</f>
        <v>0</v>
      </c>
      <c r="AL312" s="49">
        <f>AK312/AD312*100</f>
        <v>0</v>
      </c>
      <c r="AM312" s="49"/>
      <c r="AN312" s="49"/>
      <c r="AO312" s="42">
        <v>2300000</v>
      </c>
      <c r="AP312" s="49"/>
      <c r="AQ312" s="49">
        <f>AK312+AM312+AN312+AO312+AP312</f>
        <v>2300000</v>
      </c>
      <c r="AR312" s="49">
        <f>AQ312/AB312*100</f>
        <v>100</v>
      </c>
      <c r="AS312" s="49">
        <f>AB312-AQ312</f>
        <v>0</v>
      </c>
      <c r="AT312" s="49">
        <v>3091500</v>
      </c>
      <c r="AU312" s="49">
        <f>AT312+U312</f>
        <v>3091500</v>
      </c>
      <c r="AV312" s="49">
        <f>AK312</f>
        <v>0</v>
      </c>
      <c r="AW312" s="72">
        <f>AV312/AU312*100</f>
        <v>0</v>
      </c>
      <c r="AX312" s="49">
        <f>AU312-AV312</f>
        <v>3091500</v>
      </c>
      <c r="AY312" s="49">
        <f>AS312/AB312*100</f>
        <v>0</v>
      </c>
      <c r="AZ312" s="73">
        <f t="shared" si="88"/>
        <v>0</v>
      </c>
    </row>
    <row r="313" spans="1:54" ht="20.100000000000001" hidden="1" customHeight="1">
      <c r="A313" s="68"/>
      <c r="B313" s="69"/>
      <c r="C313" s="240" t="s">
        <v>466</v>
      </c>
      <c r="D313" s="240"/>
      <c r="E313" s="241"/>
      <c r="F313" s="70"/>
      <c r="G313" s="71"/>
      <c r="H313" s="240" t="s">
        <v>143</v>
      </c>
      <c r="I313" s="240"/>
      <c r="J313" s="240"/>
      <c r="K313" s="241"/>
      <c r="L313" s="49"/>
      <c r="M313" s="49"/>
      <c r="N313" s="49"/>
      <c r="O313" s="49"/>
      <c r="P313" s="49"/>
      <c r="Q313" s="49"/>
      <c r="R313" s="72"/>
      <c r="S313" s="49"/>
      <c r="T313" s="49"/>
      <c r="U313" s="49"/>
      <c r="V313" s="49"/>
      <c r="W313" s="49"/>
      <c r="X313" s="49"/>
      <c r="Y313" s="49"/>
      <c r="Z313" s="49"/>
      <c r="AA313" s="49"/>
      <c r="AB313" s="49"/>
      <c r="AC313" s="49">
        <f t="shared" si="89"/>
        <v>0</v>
      </c>
      <c r="AD313" s="49"/>
      <c r="AE313" s="49"/>
      <c r="AF313" s="49"/>
      <c r="AG313" s="49"/>
      <c r="AH313" s="49"/>
      <c r="AI313" s="49"/>
      <c r="AJ313" s="49"/>
      <c r="AK313" s="49"/>
      <c r="AL313" s="49"/>
      <c r="AM313" s="49"/>
      <c r="AN313" s="49"/>
      <c r="AO313" s="49"/>
      <c r="AP313" s="49"/>
      <c r="AQ313" s="49"/>
      <c r="AR313" s="49"/>
      <c r="AS313" s="49"/>
      <c r="AT313" s="49"/>
      <c r="AU313" s="49"/>
      <c r="AV313" s="49"/>
      <c r="AW313" s="49"/>
      <c r="AX313" s="49"/>
      <c r="AY313" s="49"/>
      <c r="AZ313" s="73">
        <f t="shared" si="88"/>
        <v>0</v>
      </c>
    </row>
    <row r="314" spans="1:54" ht="20.100000000000001" hidden="1" customHeight="1">
      <c r="A314" s="68"/>
      <c r="B314" s="69"/>
      <c r="C314" s="240" t="s">
        <v>467</v>
      </c>
      <c r="D314" s="240"/>
      <c r="E314" s="241"/>
      <c r="F314" s="70"/>
      <c r="G314" s="71"/>
      <c r="H314" s="71"/>
      <c r="I314" s="240" t="s">
        <v>145</v>
      </c>
      <c r="J314" s="240"/>
      <c r="K314" s="241"/>
      <c r="L314" s="49"/>
      <c r="M314" s="49"/>
      <c r="N314" s="49"/>
      <c r="O314" s="49"/>
      <c r="P314" s="49"/>
      <c r="Q314" s="49"/>
      <c r="R314" s="72"/>
      <c r="S314" s="49"/>
      <c r="T314" s="49"/>
      <c r="U314" s="49"/>
      <c r="V314" s="49"/>
      <c r="W314" s="49"/>
      <c r="X314" s="49"/>
      <c r="Y314" s="49"/>
      <c r="Z314" s="49"/>
      <c r="AA314" s="49"/>
      <c r="AB314" s="49"/>
      <c r="AC314" s="49">
        <f t="shared" si="89"/>
        <v>0</v>
      </c>
      <c r="AD314" s="49"/>
      <c r="AE314" s="49"/>
      <c r="AF314" s="49"/>
      <c r="AG314" s="49"/>
      <c r="AH314" s="49"/>
      <c r="AI314" s="49"/>
      <c r="AJ314" s="49"/>
      <c r="AK314" s="49"/>
      <c r="AL314" s="49"/>
      <c r="AM314" s="49"/>
      <c r="AN314" s="49"/>
      <c r="AO314" s="49"/>
      <c r="AP314" s="49"/>
      <c r="AQ314" s="49"/>
      <c r="AR314" s="49"/>
      <c r="AS314" s="49"/>
      <c r="AT314" s="49"/>
      <c r="AU314" s="49"/>
      <c r="AV314" s="49"/>
      <c r="AW314" s="49"/>
      <c r="AX314" s="49"/>
      <c r="AY314" s="49"/>
      <c r="AZ314" s="73">
        <f t="shared" si="88"/>
        <v>0</v>
      </c>
    </row>
    <row r="315" spans="1:54" ht="20.100000000000001" hidden="1" customHeight="1">
      <c r="A315" s="68"/>
      <c r="B315" s="69"/>
      <c r="C315" s="240" t="s">
        <v>468</v>
      </c>
      <c r="D315" s="240"/>
      <c r="E315" s="241"/>
      <c r="F315" s="70"/>
      <c r="G315" s="71"/>
      <c r="H315" s="71"/>
      <c r="I315" s="71"/>
      <c r="J315" s="240" t="s">
        <v>147</v>
      </c>
      <c r="K315" s="241"/>
      <c r="L315" s="49">
        <v>1190000</v>
      </c>
      <c r="M315" s="49">
        <v>0</v>
      </c>
      <c r="N315" s="49"/>
      <c r="O315" s="49"/>
      <c r="P315" s="49"/>
      <c r="Q315" s="49">
        <f>SUM(N315:P315)</f>
        <v>0</v>
      </c>
      <c r="R315" s="72"/>
      <c r="S315" s="49">
        <f>M315-Q315</f>
        <v>0</v>
      </c>
      <c r="T315" s="49">
        <v>0</v>
      </c>
      <c r="U315" s="49">
        <f>T315+M315</f>
        <v>0</v>
      </c>
      <c r="V315" s="49">
        <f>T315+S315</f>
        <v>0</v>
      </c>
      <c r="W315" s="49"/>
      <c r="X315" s="49"/>
      <c r="Y315" s="49"/>
      <c r="Z315" s="49"/>
      <c r="AA315" s="49">
        <v>1190000</v>
      </c>
      <c r="AB315" s="49">
        <v>1190000</v>
      </c>
      <c r="AC315" s="49">
        <f t="shared" si="89"/>
        <v>0</v>
      </c>
      <c r="AD315" s="49">
        <f>AA315+T315+M315</f>
        <v>1190000</v>
      </c>
      <c r="AE315" s="49"/>
      <c r="AF315" s="49"/>
      <c r="AG315" s="49"/>
      <c r="AH315" s="49"/>
      <c r="AI315" s="49"/>
      <c r="AJ315" s="49"/>
      <c r="AK315" s="49">
        <f>Z315+Y315+X315+W315+N315+AG315+AJ315+AI315+AH315</f>
        <v>0</v>
      </c>
      <c r="AL315" s="49">
        <f>AK315/AD315*100</f>
        <v>0</v>
      </c>
      <c r="AM315" s="49"/>
      <c r="AN315" s="49"/>
      <c r="AO315" s="42">
        <v>1190000</v>
      </c>
      <c r="AP315" s="49"/>
      <c r="AQ315" s="49">
        <f>AK315+AM315+AN315+AO315+AP315</f>
        <v>1190000</v>
      </c>
      <c r="AR315" s="49">
        <f>AQ315/AB315*100</f>
        <v>100</v>
      </c>
      <c r="AS315" s="49">
        <f>AB315-AQ315</f>
        <v>0</v>
      </c>
      <c r="AT315" s="49">
        <v>3091500</v>
      </c>
      <c r="AU315" s="49">
        <f>AT315+U315</f>
        <v>3091500</v>
      </c>
      <c r="AV315" s="49">
        <f>AK315</f>
        <v>0</v>
      </c>
      <c r="AW315" s="72">
        <f>AV315/AU315*100</f>
        <v>0</v>
      </c>
      <c r="AX315" s="49">
        <f>AU315-AV315</f>
        <v>3091500</v>
      </c>
      <c r="AY315" s="49">
        <f>AS315/AB315*100</f>
        <v>0</v>
      </c>
      <c r="AZ315" s="73">
        <f t="shared" si="88"/>
        <v>0</v>
      </c>
    </row>
    <row r="316" spans="1:54" ht="20.100000000000001" hidden="1" customHeight="1">
      <c r="A316" s="68"/>
      <c r="B316" s="69"/>
      <c r="C316" s="240" t="s">
        <v>469</v>
      </c>
      <c r="D316" s="240"/>
      <c r="E316" s="241"/>
      <c r="F316" s="70"/>
      <c r="G316" s="71"/>
      <c r="H316" s="71"/>
      <c r="I316" s="240" t="s">
        <v>163</v>
      </c>
      <c r="J316" s="240"/>
      <c r="K316" s="241"/>
      <c r="L316" s="49"/>
      <c r="M316" s="49"/>
      <c r="N316" s="49"/>
      <c r="O316" s="49"/>
      <c r="P316" s="49"/>
      <c r="Q316" s="49"/>
      <c r="R316" s="72"/>
      <c r="S316" s="49"/>
      <c r="T316" s="49"/>
      <c r="U316" s="49"/>
      <c r="V316" s="49"/>
      <c r="W316" s="49"/>
      <c r="X316" s="49"/>
      <c r="Y316" s="49"/>
      <c r="Z316" s="49"/>
      <c r="AA316" s="49"/>
      <c r="AB316" s="49"/>
      <c r="AC316" s="49">
        <f t="shared" si="89"/>
        <v>0</v>
      </c>
      <c r="AD316" s="49"/>
      <c r="AE316" s="49"/>
      <c r="AF316" s="49"/>
      <c r="AG316" s="49"/>
      <c r="AH316" s="49"/>
      <c r="AI316" s="49"/>
      <c r="AJ316" s="49"/>
      <c r="AK316" s="49"/>
      <c r="AL316" s="49"/>
      <c r="AM316" s="49"/>
      <c r="AN316" s="49"/>
      <c r="AO316" s="49"/>
      <c r="AP316" s="49"/>
      <c r="AQ316" s="49"/>
      <c r="AR316" s="49"/>
      <c r="AS316" s="49"/>
      <c r="AT316" s="49"/>
      <c r="AU316" s="49"/>
      <c r="AV316" s="49"/>
      <c r="AW316" s="49"/>
      <c r="AX316" s="49"/>
      <c r="AY316" s="49"/>
      <c r="AZ316" s="73">
        <f t="shared" si="88"/>
        <v>0</v>
      </c>
    </row>
    <row r="317" spans="1:54" ht="20.100000000000001" hidden="1" customHeight="1">
      <c r="A317" s="68"/>
      <c r="B317" s="69"/>
      <c r="C317" s="240" t="s">
        <v>501</v>
      </c>
      <c r="D317" s="240"/>
      <c r="E317" s="241"/>
      <c r="F317" s="70"/>
      <c r="G317" s="71"/>
      <c r="H317" s="71"/>
      <c r="I317" s="71"/>
      <c r="J317" s="240" t="s">
        <v>349</v>
      </c>
      <c r="K317" s="241"/>
      <c r="L317" s="49">
        <v>337000</v>
      </c>
      <c r="M317" s="49">
        <v>0</v>
      </c>
      <c r="N317" s="49"/>
      <c r="O317" s="49"/>
      <c r="P317" s="49"/>
      <c r="Q317" s="49">
        <f>SUM(N317:P317)</f>
        <v>0</v>
      </c>
      <c r="R317" s="72"/>
      <c r="S317" s="49">
        <f>M317-Q317</f>
        <v>0</v>
      </c>
      <c r="T317" s="49">
        <v>0</v>
      </c>
      <c r="U317" s="49">
        <f>T317+M317</f>
        <v>0</v>
      </c>
      <c r="V317" s="49">
        <f>T317+S317</f>
        <v>0</v>
      </c>
      <c r="W317" s="49"/>
      <c r="X317" s="49"/>
      <c r="Y317" s="49"/>
      <c r="Z317" s="49"/>
      <c r="AA317" s="49">
        <v>337000</v>
      </c>
      <c r="AB317" s="49">
        <v>337000</v>
      </c>
      <c r="AC317" s="49">
        <f t="shared" si="89"/>
        <v>0</v>
      </c>
      <c r="AD317" s="49">
        <f>AA317+T317+M317</f>
        <v>337000</v>
      </c>
      <c r="AE317" s="49"/>
      <c r="AF317" s="49"/>
      <c r="AG317" s="49"/>
      <c r="AH317" s="49"/>
      <c r="AI317" s="49"/>
      <c r="AJ317" s="49"/>
      <c r="AK317" s="49">
        <f>Z317+Y317+X317+W317+N317+AG317+AJ317+AI317+AH317</f>
        <v>0</v>
      </c>
      <c r="AL317" s="49">
        <f>AK317/AD317*100</f>
        <v>0</v>
      </c>
      <c r="AM317" s="49"/>
      <c r="AN317" s="49"/>
      <c r="AO317" s="42">
        <v>337000</v>
      </c>
      <c r="AP317" s="49"/>
      <c r="AQ317" s="49">
        <f>AK317+AM317+AN317+AO317+AP317</f>
        <v>337000</v>
      </c>
      <c r="AR317" s="49">
        <f>AQ317/AB317*100</f>
        <v>100</v>
      </c>
      <c r="AS317" s="49">
        <f>AB317-AQ317</f>
        <v>0</v>
      </c>
      <c r="AT317" s="49">
        <v>3091500</v>
      </c>
      <c r="AU317" s="49">
        <f>AT317+U317</f>
        <v>3091500</v>
      </c>
      <c r="AV317" s="49">
        <f>AK317</f>
        <v>0</v>
      </c>
      <c r="AW317" s="72">
        <f>AV317/AU317*100</f>
        <v>0</v>
      </c>
      <c r="AX317" s="49">
        <f>AU317-AV317</f>
        <v>3091500</v>
      </c>
      <c r="AY317" s="49">
        <f>AS317/AB317*100</f>
        <v>0</v>
      </c>
      <c r="AZ317" s="73">
        <f t="shared" si="88"/>
        <v>0</v>
      </c>
    </row>
    <row r="318" spans="1:54" ht="20.100000000000001" hidden="1" customHeight="1">
      <c r="A318" s="68"/>
      <c r="B318" s="69"/>
      <c r="C318" s="240" t="s">
        <v>471</v>
      </c>
      <c r="D318" s="240"/>
      <c r="E318" s="241"/>
      <c r="F318" s="70"/>
      <c r="G318" s="71"/>
      <c r="H318" s="71"/>
      <c r="I318" s="71"/>
      <c r="J318" s="240" t="s">
        <v>352</v>
      </c>
      <c r="K318" s="241"/>
      <c r="L318" s="49">
        <v>4000000</v>
      </c>
      <c r="M318" s="49">
        <v>0</v>
      </c>
      <c r="N318" s="49"/>
      <c r="O318" s="49"/>
      <c r="P318" s="49"/>
      <c r="Q318" s="49">
        <f>SUM(N318:P318)</f>
        <v>0</v>
      </c>
      <c r="R318" s="72"/>
      <c r="S318" s="49">
        <f>M318-Q318</f>
        <v>0</v>
      </c>
      <c r="T318" s="49">
        <v>0</v>
      </c>
      <c r="U318" s="49">
        <f>T318+M318</f>
        <v>0</v>
      </c>
      <c r="V318" s="49">
        <f>T318+S318</f>
        <v>0</v>
      </c>
      <c r="W318" s="49"/>
      <c r="X318" s="49"/>
      <c r="Y318" s="49"/>
      <c r="Z318" s="49"/>
      <c r="AA318" s="49">
        <v>4000000</v>
      </c>
      <c r="AB318" s="49">
        <v>4000000</v>
      </c>
      <c r="AC318" s="49">
        <f t="shared" si="89"/>
        <v>0</v>
      </c>
      <c r="AD318" s="49">
        <f>AA318+T318+M318</f>
        <v>4000000</v>
      </c>
      <c r="AE318" s="49"/>
      <c r="AF318" s="49"/>
      <c r="AG318" s="49"/>
      <c r="AH318" s="49"/>
      <c r="AI318" s="49"/>
      <c r="AJ318" s="49"/>
      <c r="AK318" s="49">
        <f>Z318+Y318+X318+W318+N318+AG318+AJ318+AI318+AH318</f>
        <v>0</v>
      </c>
      <c r="AL318" s="49">
        <f>AK318/AD318*100</f>
        <v>0</v>
      </c>
      <c r="AM318" s="49"/>
      <c r="AN318" s="49"/>
      <c r="AO318" s="42">
        <v>4000000</v>
      </c>
      <c r="AP318" s="49"/>
      <c r="AQ318" s="49">
        <f>AK318+AM318+AN318+AO318+AP318</f>
        <v>4000000</v>
      </c>
      <c r="AR318" s="49">
        <f>AQ318/AB318*100</f>
        <v>100</v>
      </c>
      <c r="AS318" s="49">
        <f>AB318-AQ318</f>
        <v>0</v>
      </c>
      <c r="AT318" s="49">
        <v>3091500</v>
      </c>
      <c r="AU318" s="49">
        <f>AT318+U318</f>
        <v>3091500</v>
      </c>
      <c r="AV318" s="49">
        <f>AK318</f>
        <v>0</v>
      </c>
      <c r="AW318" s="72">
        <f>AV318/AU318*100</f>
        <v>0</v>
      </c>
      <c r="AX318" s="49">
        <f>AU318-AV318</f>
        <v>3091500</v>
      </c>
      <c r="AY318" s="49">
        <f>AS318/AB318*100</f>
        <v>0</v>
      </c>
      <c r="AZ318" s="73">
        <f t="shared" si="88"/>
        <v>0</v>
      </c>
    </row>
    <row r="319" spans="1:54" ht="20.100000000000001" hidden="1" customHeight="1">
      <c r="A319" s="68"/>
      <c r="B319" s="69"/>
      <c r="C319" s="240" t="s">
        <v>472</v>
      </c>
      <c r="D319" s="240"/>
      <c r="E319" s="241"/>
      <c r="F319" s="70"/>
      <c r="G319" s="71"/>
      <c r="H319" s="71"/>
      <c r="I319" s="240" t="s">
        <v>151</v>
      </c>
      <c r="J319" s="240"/>
      <c r="K319" s="241"/>
      <c r="L319" s="49"/>
      <c r="M319" s="49"/>
      <c r="N319" s="49"/>
      <c r="O319" s="49"/>
      <c r="P319" s="49"/>
      <c r="Q319" s="49"/>
      <c r="R319" s="72"/>
      <c r="S319" s="49"/>
      <c r="T319" s="49"/>
      <c r="U319" s="49"/>
      <c r="V319" s="49"/>
      <c r="W319" s="49"/>
      <c r="X319" s="49"/>
      <c r="Y319" s="49"/>
      <c r="Z319" s="49"/>
      <c r="AA319" s="49"/>
      <c r="AB319" s="49"/>
      <c r="AC319" s="49">
        <f t="shared" si="89"/>
        <v>0</v>
      </c>
      <c r="AD319" s="49"/>
      <c r="AE319" s="49"/>
      <c r="AF319" s="49"/>
      <c r="AG319" s="49"/>
      <c r="AH319" s="49"/>
      <c r="AI319" s="49"/>
      <c r="AJ319" s="49"/>
      <c r="AK319" s="49"/>
      <c r="AL319" s="49"/>
      <c r="AM319" s="49"/>
      <c r="AN319" s="49"/>
      <c r="AO319" s="49"/>
      <c r="AP319" s="49"/>
      <c r="AQ319" s="49"/>
      <c r="AR319" s="49"/>
      <c r="AS319" s="49"/>
      <c r="AT319" s="49"/>
      <c r="AU319" s="49"/>
      <c r="AV319" s="49"/>
      <c r="AW319" s="49"/>
      <c r="AX319" s="49"/>
      <c r="AY319" s="49"/>
      <c r="AZ319" s="73">
        <f t="shared" si="88"/>
        <v>0</v>
      </c>
    </row>
    <row r="320" spans="1:54" ht="20.100000000000001" hidden="1" customHeight="1">
      <c r="A320" s="68"/>
      <c r="B320" s="69"/>
      <c r="C320" s="240" t="s">
        <v>502</v>
      </c>
      <c r="D320" s="240"/>
      <c r="E320" s="241"/>
      <c r="F320" s="70"/>
      <c r="G320" s="71"/>
      <c r="H320" s="71"/>
      <c r="I320" s="71"/>
      <c r="J320" s="240" t="s">
        <v>153</v>
      </c>
      <c r="K320" s="241"/>
      <c r="L320" s="49">
        <v>675000</v>
      </c>
      <c r="M320" s="49">
        <v>0</v>
      </c>
      <c r="N320" s="49"/>
      <c r="O320" s="49"/>
      <c r="P320" s="49"/>
      <c r="Q320" s="49">
        <f>SUM(N320:P320)</f>
        <v>0</v>
      </c>
      <c r="R320" s="72"/>
      <c r="S320" s="49">
        <f>M320-Q320</f>
        <v>0</v>
      </c>
      <c r="T320" s="49">
        <v>0</v>
      </c>
      <c r="U320" s="49">
        <f>T320+M320</f>
        <v>0</v>
      </c>
      <c r="V320" s="49">
        <f>T320+S320</f>
        <v>0</v>
      </c>
      <c r="W320" s="49"/>
      <c r="X320" s="49"/>
      <c r="Y320" s="49"/>
      <c r="Z320" s="49"/>
      <c r="AA320" s="49">
        <v>675000</v>
      </c>
      <c r="AB320" s="49">
        <v>675000</v>
      </c>
      <c r="AC320" s="49">
        <f t="shared" si="89"/>
        <v>0</v>
      </c>
      <c r="AD320" s="49">
        <f>AA320+T320+M320</f>
        <v>675000</v>
      </c>
      <c r="AE320" s="49"/>
      <c r="AF320" s="49"/>
      <c r="AG320" s="49"/>
      <c r="AH320" s="49"/>
      <c r="AI320" s="49"/>
      <c r="AJ320" s="49"/>
      <c r="AK320" s="49">
        <f>Z320+Y320+X320+W320+N320+AG320+AJ320+AI320+AH320</f>
        <v>0</v>
      </c>
      <c r="AL320" s="49">
        <f>AK320/AD320*100</f>
        <v>0</v>
      </c>
      <c r="AM320" s="49"/>
      <c r="AN320" s="49"/>
      <c r="AO320" s="42">
        <v>675000</v>
      </c>
      <c r="AP320" s="49"/>
      <c r="AQ320" s="49">
        <f>AK320+AM320+AN320+AO320+AP320</f>
        <v>675000</v>
      </c>
      <c r="AR320" s="49">
        <f>AQ320/AB320*100</f>
        <v>100</v>
      </c>
      <c r="AS320" s="49">
        <f>AB320-AQ320</f>
        <v>0</v>
      </c>
      <c r="AT320" s="49">
        <v>3091500</v>
      </c>
      <c r="AU320" s="49">
        <f>AT320+U320</f>
        <v>3091500</v>
      </c>
      <c r="AV320" s="49">
        <f>AK320</f>
        <v>0</v>
      </c>
      <c r="AW320" s="72">
        <f>AV320/AU320*100</f>
        <v>0</v>
      </c>
      <c r="AX320" s="49">
        <f>AU320-AV320</f>
        <v>3091500</v>
      </c>
      <c r="AY320" s="49">
        <f>AS320/AB320*100</f>
        <v>0</v>
      </c>
      <c r="AZ320" s="73">
        <f t="shared" si="88"/>
        <v>0</v>
      </c>
    </row>
    <row r="321" spans="1:53" ht="20.100000000000001" hidden="1" customHeight="1">
      <c r="A321" s="68"/>
      <c r="B321" s="69"/>
      <c r="C321" s="240" t="s">
        <v>473</v>
      </c>
      <c r="D321" s="240"/>
      <c r="E321" s="241"/>
      <c r="F321" s="70"/>
      <c r="G321" s="71"/>
      <c r="H321" s="71"/>
      <c r="I321" s="71"/>
      <c r="J321" s="240" t="s">
        <v>155</v>
      </c>
      <c r="K321" s="241"/>
      <c r="L321" s="49">
        <v>417000</v>
      </c>
      <c r="M321" s="49">
        <v>0</v>
      </c>
      <c r="N321" s="49"/>
      <c r="O321" s="49"/>
      <c r="P321" s="49"/>
      <c r="Q321" s="49">
        <f>SUM(N321:P321)</f>
        <v>0</v>
      </c>
      <c r="R321" s="72"/>
      <c r="S321" s="49">
        <f>M321-Q321</f>
        <v>0</v>
      </c>
      <c r="T321" s="49">
        <v>0</v>
      </c>
      <c r="U321" s="49">
        <f>T321+M321</f>
        <v>0</v>
      </c>
      <c r="V321" s="49">
        <f>T321+S321</f>
        <v>0</v>
      </c>
      <c r="W321" s="49"/>
      <c r="X321" s="49"/>
      <c r="Y321" s="49"/>
      <c r="Z321" s="49"/>
      <c r="AA321" s="49">
        <v>417000</v>
      </c>
      <c r="AB321" s="49">
        <v>417000</v>
      </c>
      <c r="AC321" s="49">
        <f t="shared" si="89"/>
        <v>0</v>
      </c>
      <c r="AD321" s="49">
        <f>AA321+T321+M321</f>
        <v>417000</v>
      </c>
      <c r="AE321" s="49"/>
      <c r="AF321" s="49"/>
      <c r="AG321" s="49"/>
      <c r="AH321" s="49"/>
      <c r="AI321" s="49"/>
      <c r="AJ321" s="49"/>
      <c r="AK321" s="49">
        <f>Z321+Y321+X321+W321+N321+AG321+AJ321+AI321+AH321</f>
        <v>0</v>
      </c>
      <c r="AL321" s="49">
        <f>AK321/AD321*100</f>
        <v>0</v>
      </c>
      <c r="AM321" s="49"/>
      <c r="AN321" s="49"/>
      <c r="AO321" s="42">
        <v>416850</v>
      </c>
      <c r="AP321" s="49"/>
      <c r="AQ321" s="49">
        <f>AK321+AM321+AN321+AO321+AP321</f>
        <v>416850</v>
      </c>
      <c r="AR321" s="49">
        <f>AQ321/AB321*100</f>
        <v>99.964028776978424</v>
      </c>
      <c r="AS321" s="49">
        <f>AB321-AQ321</f>
        <v>150</v>
      </c>
      <c r="AT321" s="49">
        <v>3091500</v>
      </c>
      <c r="AU321" s="49">
        <f>AT321+U321</f>
        <v>3091500</v>
      </c>
      <c r="AV321" s="49">
        <f>AK321</f>
        <v>0</v>
      </c>
      <c r="AW321" s="72">
        <f>AV321/AU321*100</f>
        <v>0</v>
      </c>
      <c r="AX321" s="49">
        <f>AU321-AV321</f>
        <v>3091500</v>
      </c>
      <c r="AY321" s="49">
        <f>AS321/AB321*100</f>
        <v>3.5971223021582732E-2</v>
      </c>
      <c r="AZ321" s="73">
        <f t="shared" si="88"/>
        <v>0</v>
      </c>
    </row>
    <row r="322" spans="1:53" ht="20.100000000000001" hidden="1" customHeight="1">
      <c r="A322" s="68"/>
      <c r="B322" s="69"/>
      <c r="C322" s="240" t="s">
        <v>474</v>
      </c>
      <c r="D322" s="240"/>
      <c r="E322" s="241"/>
      <c r="F322" s="70"/>
      <c r="G322" s="71"/>
      <c r="H322" s="71"/>
      <c r="I322" s="240" t="s">
        <v>193</v>
      </c>
      <c r="J322" s="240"/>
      <c r="K322" s="241"/>
      <c r="L322" s="49"/>
      <c r="M322" s="49"/>
      <c r="N322" s="49"/>
      <c r="O322" s="49"/>
      <c r="P322" s="49"/>
      <c r="Q322" s="49"/>
      <c r="R322" s="72"/>
      <c r="S322" s="49"/>
      <c r="T322" s="49"/>
      <c r="U322" s="49"/>
      <c r="V322" s="49"/>
      <c r="W322" s="49"/>
      <c r="X322" s="49"/>
      <c r="Y322" s="49"/>
      <c r="Z322" s="49"/>
      <c r="AA322" s="49"/>
      <c r="AB322" s="49"/>
      <c r="AC322" s="49">
        <f t="shared" si="89"/>
        <v>0</v>
      </c>
      <c r="AD322" s="49"/>
      <c r="AE322" s="49"/>
      <c r="AF322" s="49"/>
      <c r="AG322" s="49"/>
      <c r="AH322" s="49"/>
      <c r="AI322" s="49"/>
      <c r="AJ322" s="49"/>
      <c r="AK322" s="49"/>
      <c r="AL322" s="49"/>
      <c r="AM322" s="49"/>
      <c r="AN322" s="49"/>
      <c r="AO322" s="49"/>
      <c r="AP322" s="49"/>
      <c r="AQ322" s="49"/>
      <c r="AR322" s="49"/>
      <c r="AS322" s="49"/>
      <c r="AT322" s="49"/>
      <c r="AU322" s="49"/>
      <c r="AV322" s="49"/>
      <c r="AW322" s="49"/>
      <c r="AX322" s="49"/>
      <c r="AY322" s="49"/>
      <c r="AZ322" s="73">
        <f t="shared" si="88"/>
        <v>0</v>
      </c>
    </row>
    <row r="323" spans="1:53" ht="20.100000000000001" hidden="1" customHeight="1">
      <c r="A323" s="68"/>
      <c r="B323" s="69"/>
      <c r="C323" s="240" t="s">
        <v>475</v>
      </c>
      <c r="D323" s="240"/>
      <c r="E323" s="241"/>
      <c r="F323" s="70"/>
      <c r="G323" s="71"/>
      <c r="H323" s="71"/>
      <c r="I323" s="71"/>
      <c r="J323" s="240" t="s">
        <v>195</v>
      </c>
      <c r="K323" s="241"/>
      <c r="L323" s="49">
        <v>4725000</v>
      </c>
      <c r="M323" s="49">
        <v>0</v>
      </c>
      <c r="N323" s="49"/>
      <c r="O323" s="49"/>
      <c r="P323" s="49"/>
      <c r="Q323" s="49">
        <f>SUM(N323:P323)</f>
        <v>0</v>
      </c>
      <c r="R323" s="72"/>
      <c r="S323" s="49">
        <f>M323-Q323</f>
        <v>0</v>
      </c>
      <c r="T323" s="49">
        <v>0</v>
      </c>
      <c r="U323" s="49">
        <f>T323+M323</f>
        <v>0</v>
      </c>
      <c r="V323" s="49">
        <f>T323+S323</f>
        <v>0</v>
      </c>
      <c r="W323" s="49"/>
      <c r="X323" s="49"/>
      <c r="Y323" s="49"/>
      <c r="Z323" s="49"/>
      <c r="AA323" s="49">
        <v>4725000</v>
      </c>
      <c r="AB323" s="49">
        <v>4725000</v>
      </c>
      <c r="AC323" s="49">
        <f t="shared" si="89"/>
        <v>0</v>
      </c>
      <c r="AD323" s="49">
        <f>AA323+T323+M323</f>
        <v>4725000</v>
      </c>
      <c r="AE323" s="49"/>
      <c r="AF323" s="49"/>
      <c r="AG323" s="49"/>
      <c r="AH323" s="49"/>
      <c r="AI323" s="49"/>
      <c r="AJ323" s="49"/>
      <c r="AK323" s="49">
        <f>Z323+Y323+X323+W323+N323+AG323+AJ323+AI323+AH323</f>
        <v>0</v>
      </c>
      <c r="AL323" s="49">
        <f>AK323/AD323*100</f>
        <v>0</v>
      </c>
      <c r="AM323" s="49"/>
      <c r="AN323" s="49"/>
      <c r="AO323" s="42">
        <f>3150000+1575000</f>
        <v>4725000</v>
      </c>
      <c r="AP323" s="49"/>
      <c r="AQ323" s="49">
        <f>AK323+AM323+AN323+AO323+AP323</f>
        <v>4725000</v>
      </c>
      <c r="AR323" s="49">
        <f>AQ323/AB323*100</f>
        <v>100</v>
      </c>
      <c r="AS323" s="49">
        <f>AB323-AQ323</f>
        <v>0</v>
      </c>
      <c r="AT323" s="49">
        <v>3091500</v>
      </c>
      <c r="AU323" s="49">
        <f>AT323+U323</f>
        <v>3091500</v>
      </c>
      <c r="AV323" s="49">
        <f>AK323</f>
        <v>0</v>
      </c>
      <c r="AW323" s="72">
        <f>AV323/AU323*100</f>
        <v>0</v>
      </c>
      <c r="AX323" s="49">
        <f>AU323-AV323</f>
        <v>3091500</v>
      </c>
      <c r="AY323" s="49">
        <f>AS323/AB323*100</f>
        <v>0</v>
      </c>
      <c r="AZ323" s="73">
        <f t="shared" si="88"/>
        <v>0</v>
      </c>
    </row>
    <row r="324" spans="1:53" ht="20.100000000000001" hidden="1" customHeight="1">
      <c r="A324" s="68"/>
      <c r="B324" s="69"/>
      <c r="C324" s="240" t="s">
        <v>476</v>
      </c>
      <c r="D324" s="240"/>
      <c r="E324" s="241"/>
      <c r="F324" s="70"/>
      <c r="G324" s="71"/>
      <c r="H324" s="71"/>
      <c r="I324" s="240" t="s">
        <v>157</v>
      </c>
      <c r="J324" s="240"/>
      <c r="K324" s="241"/>
      <c r="L324" s="49"/>
      <c r="M324" s="49"/>
      <c r="N324" s="49"/>
      <c r="O324" s="49"/>
      <c r="P324" s="49"/>
      <c r="Q324" s="49"/>
      <c r="R324" s="72"/>
      <c r="S324" s="49"/>
      <c r="T324" s="49"/>
      <c r="U324" s="49"/>
      <c r="V324" s="49"/>
      <c r="W324" s="49"/>
      <c r="X324" s="49"/>
      <c r="Y324" s="49"/>
      <c r="Z324" s="49"/>
      <c r="AA324" s="49"/>
      <c r="AB324" s="49"/>
      <c r="AC324" s="49">
        <f t="shared" si="89"/>
        <v>0</v>
      </c>
      <c r="AD324" s="49"/>
      <c r="AE324" s="49"/>
      <c r="AF324" s="49"/>
      <c r="AG324" s="49"/>
      <c r="AH324" s="49"/>
      <c r="AI324" s="49"/>
      <c r="AJ324" s="49"/>
      <c r="AK324" s="49"/>
      <c r="AL324" s="49"/>
      <c r="AM324" s="49"/>
      <c r="AN324" s="49"/>
      <c r="AO324" s="49"/>
      <c r="AP324" s="49"/>
      <c r="AQ324" s="49"/>
      <c r="AR324" s="49"/>
      <c r="AS324" s="49"/>
      <c r="AT324" s="49"/>
      <c r="AU324" s="49"/>
      <c r="AV324" s="49"/>
      <c r="AW324" s="49"/>
      <c r="AX324" s="49"/>
      <c r="AY324" s="49"/>
      <c r="AZ324" s="73">
        <f t="shared" si="88"/>
        <v>0</v>
      </c>
    </row>
    <row r="325" spans="1:53" ht="20.100000000000001" hidden="1" customHeight="1">
      <c r="A325" s="68"/>
      <c r="B325" s="69"/>
      <c r="C325" s="240" t="s">
        <v>477</v>
      </c>
      <c r="D325" s="240"/>
      <c r="E325" s="241"/>
      <c r="F325" s="70"/>
      <c r="G325" s="71"/>
      <c r="H325" s="71"/>
      <c r="I325" s="71"/>
      <c r="J325" s="240" t="s">
        <v>159</v>
      </c>
      <c r="K325" s="241"/>
      <c r="L325" s="49">
        <v>3440000</v>
      </c>
      <c r="M325" s="49">
        <v>0</v>
      </c>
      <c r="N325" s="49"/>
      <c r="O325" s="49"/>
      <c r="P325" s="49"/>
      <c r="Q325" s="49">
        <f>SUM(N325:P325)</f>
        <v>0</v>
      </c>
      <c r="R325" s="72"/>
      <c r="S325" s="49">
        <f>M325-Q325</f>
        <v>0</v>
      </c>
      <c r="T325" s="49">
        <v>0</v>
      </c>
      <c r="U325" s="49">
        <f>T325+M325</f>
        <v>0</v>
      </c>
      <c r="V325" s="49">
        <f>T325+S325</f>
        <v>0</v>
      </c>
      <c r="W325" s="49"/>
      <c r="X325" s="49"/>
      <c r="Y325" s="49"/>
      <c r="Z325" s="49"/>
      <c r="AA325" s="49">
        <v>3440000</v>
      </c>
      <c r="AB325" s="49">
        <v>3440000</v>
      </c>
      <c r="AC325" s="49">
        <f t="shared" si="89"/>
        <v>0</v>
      </c>
      <c r="AD325" s="49">
        <f>AA325+T325+M325</f>
        <v>3440000</v>
      </c>
      <c r="AE325" s="49"/>
      <c r="AF325" s="49"/>
      <c r="AG325" s="49"/>
      <c r="AH325" s="49"/>
      <c r="AI325" s="49"/>
      <c r="AJ325" s="49"/>
      <c r="AK325" s="49">
        <f>Z325+Y325+X325+W325+N325+AG325+AJ325+AI325+AH325</f>
        <v>0</v>
      </c>
      <c r="AL325" s="49">
        <f>AK325/AD325*100</f>
        <v>0</v>
      </c>
      <c r="AM325" s="49"/>
      <c r="AN325" s="49"/>
      <c r="AO325" s="42">
        <v>3440000</v>
      </c>
      <c r="AP325" s="49"/>
      <c r="AQ325" s="49">
        <f>AK325+AM325+AN325+AO325+AP325</f>
        <v>3440000</v>
      </c>
      <c r="AR325" s="49">
        <f>AQ325/AB325*100</f>
        <v>100</v>
      </c>
      <c r="AS325" s="49">
        <f>AB325-AQ325</f>
        <v>0</v>
      </c>
      <c r="AT325" s="49">
        <v>3091500</v>
      </c>
      <c r="AU325" s="49">
        <f>AT325+U325</f>
        <v>3091500</v>
      </c>
      <c r="AV325" s="49">
        <f>AK325</f>
        <v>0</v>
      </c>
      <c r="AW325" s="72">
        <f>AV325/AU325*100</f>
        <v>0</v>
      </c>
      <c r="AX325" s="49">
        <f>AU325-AV325</f>
        <v>3091500</v>
      </c>
      <c r="AY325" s="49">
        <f>AS325/AB325*100</f>
        <v>0</v>
      </c>
      <c r="AZ325" s="73">
        <f t="shared" si="88"/>
        <v>0</v>
      </c>
    </row>
    <row r="326" spans="1:53" ht="20.100000000000001" hidden="1" customHeight="1">
      <c r="A326" s="68"/>
      <c r="B326" s="69"/>
      <c r="C326" s="240" t="s">
        <v>478</v>
      </c>
      <c r="D326" s="240"/>
      <c r="E326" s="241"/>
      <c r="F326" s="70"/>
      <c r="G326" s="71"/>
      <c r="H326" s="71"/>
      <c r="I326" s="71"/>
      <c r="J326" s="240" t="s">
        <v>207</v>
      </c>
      <c r="K326" s="241"/>
      <c r="L326" s="49">
        <v>2200000</v>
      </c>
      <c r="M326" s="49">
        <v>0</v>
      </c>
      <c r="N326" s="49"/>
      <c r="O326" s="49"/>
      <c r="P326" s="49"/>
      <c r="Q326" s="49">
        <f>SUM(N326:P326)</f>
        <v>0</v>
      </c>
      <c r="R326" s="72"/>
      <c r="S326" s="49">
        <f>M326-Q326</f>
        <v>0</v>
      </c>
      <c r="T326" s="49">
        <v>0</v>
      </c>
      <c r="U326" s="49">
        <f>T326+M326</f>
        <v>0</v>
      </c>
      <c r="V326" s="49">
        <f>T326+S326</f>
        <v>0</v>
      </c>
      <c r="W326" s="49"/>
      <c r="X326" s="49"/>
      <c r="Y326" s="49"/>
      <c r="Z326" s="49"/>
      <c r="AA326" s="49">
        <v>2200000</v>
      </c>
      <c r="AB326" s="49">
        <v>2200000</v>
      </c>
      <c r="AC326" s="49">
        <f t="shared" si="89"/>
        <v>0</v>
      </c>
      <c r="AD326" s="49">
        <f>AA326+T326+M326</f>
        <v>2200000</v>
      </c>
      <c r="AE326" s="49"/>
      <c r="AF326" s="49"/>
      <c r="AG326" s="49"/>
      <c r="AH326" s="49"/>
      <c r="AI326" s="49"/>
      <c r="AJ326" s="49"/>
      <c r="AK326" s="49">
        <f>Z326+Y326+X326+W326+N326+AG326+AJ326+AI326+AH326</f>
        <v>0</v>
      </c>
      <c r="AL326" s="49">
        <f>AK326/AD326*100</f>
        <v>0</v>
      </c>
      <c r="AM326" s="49"/>
      <c r="AN326" s="49"/>
      <c r="AO326" s="42">
        <v>2190000</v>
      </c>
      <c r="AP326" s="49"/>
      <c r="AQ326" s="49">
        <f>AK326+AM326+AN326+AO326+AP326</f>
        <v>2190000</v>
      </c>
      <c r="AR326" s="49">
        <f>AQ326/AB326*100</f>
        <v>99.545454545454547</v>
      </c>
      <c r="AS326" s="49">
        <f>AB326-AQ326</f>
        <v>10000</v>
      </c>
      <c r="AT326" s="49">
        <v>3091500</v>
      </c>
      <c r="AU326" s="49">
        <f>AT326+U326</f>
        <v>3091500</v>
      </c>
      <c r="AV326" s="49">
        <f>AK326</f>
        <v>0</v>
      </c>
      <c r="AW326" s="72">
        <f>AV326/AU326*100</f>
        <v>0</v>
      </c>
      <c r="AX326" s="49">
        <f>AU326-AV326</f>
        <v>3091500</v>
      </c>
      <c r="AY326" s="49">
        <f>AS326/AB326*100</f>
        <v>0.45454545454545453</v>
      </c>
      <c r="AZ326" s="73">
        <f t="shared" si="88"/>
        <v>0</v>
      </c>
    </row>
    <row r="327" spans="1:53" ht="20.100000000000001" hidden="1" customHeight="1">
      <c r="A327" s="68"/>
      <c r="B327" s="69"/>
      <c r="C327" s="240" t="s">
        <v>479</v>
      </c>
      <c r="D327" s="240"/>
      <c r="E327" s="241"/>
      <c r="F327" s="70"/>
      <c r="G327" s="71"/>
      <c r="H327" s="71"/>
      <c r="I327" s="240" t="s">
        <v>402</v>
      </c>
      <c r="J327" s="240"/>
      <c r="K327" s="241"/>
      <c r="L327" s="49"/>
      <c r="M327" s="49"/>
      <c r="N327" s="49"/>
      <c r="O327" s="49"/>
      <c r="P327" s="49"/>
      <c r="Q327" s="49"/>
      <c r="R327" s="72"/>
      <c r="S327" s="49"/>
      <c r="T327" s="49"/>
      <c r="U327" s="49"/>
      <c r="V327" s="49"/>
      <c r="W327" s="49"/>
      <c r="X327" s="49"/>
      <c r="Y327" s="49"/>
      <c r="Z327" s="49"/>
      <c r="AA327" s="49"/>
      <c r="AB327" s="49"/>
      <c r="AC327" s="49">
        <f t="shared" si="89"/>
        <v>0</v>
      </c>
      <c r="AD327" s="49"/>
      <c r="AE327" s="49"/>
      <c r="AF327" s="49"/>
      <c r="AG327" s="49"/>
      <c r="AH327" s="49"/>
      <c r="AI327" s="49"/>
      <c r="AJ327" s="49"/>
      <c r="AK327" s="49"/>
      <c r="AL327" s="49"/>
      <c r="AM327" s="49"/>
      <c r="AN327" s="49"/>
      <c r="AO327" s="49"/>
      <c r="AP327" s="49"/>
      <c r="AQ327" s="49"/>
      <c r="AR327" s="49"/>
      <c r="AS327" s="49"/>
      <c r="AT327" s="49"/>
      <c r="AU327" s="49"/>
      <c r="AV327" s="49"/>
      <c r="AW327" s="49"/>
      <c r="AX327" s="49"/>
      <c r="AY327" s="49"/>
      <c r="AZ327" s="73">
        <f t="shared" si="88"/>
        <v>0</v>
      </c>
    </row>
    <row r="328" spans="1:53" ht="20.100000000000001" hidden="1" customHeight="1">
      <c r="A328" s="68"/>
      <c r="B328" s="69"/>
      <c r="C328" s="240" t="s">
        <v>480</v>
      </c>
      <c r="D328" s="240"/>
      <c r="E328" s="241"/>
      <c r="F328" s="70"/>
      <c r="G328" s="71"/>
      <c r="H328" s="71"/>
      <c r="I328" s="71"/>
      <c r="J328" s="240" t="s">
        <v>404</v>
      </c>
      <c r="K328" s="241"/>
      <c r="L328" s="49">
        <v>8700000</v>
      </c>
      <c r="M328" s="49">
        <v>0</v>
      </c>
      <c r="N328" s="49"/>
      <c r="O328" s="49"/>
      <c r="P328" s="49"/>
      <c r="Q328" s="49">
        <f>SUM(N328:P328)</f>
        <v>0</v>
      </c>
      <c r="R328" s="72"/>
      <c r="S328" s="49">
        <f>M328-Q328</f>
        <v>0</v>
      </c>
      <c r="T328" s="49">
        <v>0</v>
      </c>
      <c r="U328" s="49">
        <f>T328+M328</f>
        <v>0</v>
      </c>
      <c r="V328" s="49">
        <f>T328+S328</f>
        <v>0</v>
      </c>
      <c r="W328" s="49"/>
      <c r="X328" s="49"/>
      <c r="Y328" s="49"/>
      <c r="Z328" s="49"/>
      <c r="AA328" s="49">
        <v>8700000</v>
      </c>
      <c r="AB328" s="49">
        <v>8700000</v>
      </c>
      <c r="AC328" s="49">
        <f t="shared" si="89"/>
        <v>0</v>
      </c>
      <c r="AD328" s="49">
        <f>AA328+T328+M328</f>
        <v>8700000</v>
      </c>
      <c r="AE328" s="49"/>
      <c r="AF328" s="49"/>
      <c r="AG328" s="49"/>
      <c r="AH328" s="49"/>
      <c r="AI328" s="49"/>
      <c r="AJ328" s="49"/>
      <c r="AK328" s="49">
        <f>Z328+Y328+X328+W328+N328+AG328+AJ328+AI328+AH328</f>
        <v>0</v>
      </c>
      <c r="AL328" s="49">
        <f>AK328/AD328*100</f>
        <v>0</v>
      </c>
      <c r="AM328" s="49"/>
      <c r="AN328" s="49"/>
      <c r="AO328" s="42">
        <v>5850000</v>
      </c>
      <c r="AP328" s="49"/>
      <c r="AQ328" s="49">
        <f>AK328+AM328+AN328+AO328+AP328</f>
        <v>5850000</v>
      </c>
      <c r="AR328" s="49">
        <f>AQ328/AB328*100</f>
        <v>67.241379310344826</v>
      </c>
      <c r="AS328" s="49">
        <f>AB328-AQ328</f>
        <v>2850000</v>
      </c>
      <c r="AT328" s="49">
        <v>3091500</v>
      </c>
      <c r="AU328" s="49">
        <f>AT328+U328</f>
        <v>3091500</v>
      </c>
      <c r="AV328" s="49">
        <f>AK328</f>
        <v>0</v>
      </c>
      <c r="AW328" s="72">
        <f>AV328/AU328*100</f>
        <v>0</v>
      </c>
      <c r="AX328" s="49">
        <f>AU328-AV328</f>
        <v>3091500</v>
      </c>
      <c r="AY328" s="49">
        <f>AS328/AB328*100</f>
        <v>32.758620689655174</v>
      </c>
      <c r="AZ328" s="73">
        <f t="shared" si="88"/>
        <v>0</v>
      </c>
    </row>
    <row r="329" spans="1:53" ht="20.100000000000001" customHeight="1">
      <c r="A329" s="62">
        <v>23</v>
      </c>
      <c r="B329" s="63"/>
      <c r="C329" s="242" t="s">
        <v>503</v>
      </c>
      <c r="D329" s="242"/>
      <c r="E329" s="243"/>
      <c r="F329" s="64"/>
      <c r="G329" s="244" t="s">
        <v>504</v>
      </c>
      <c r="H329" s="244"/>
      <c r="I329" s="244"/>
      <c r="J329" s="244"/>
      <c r="K329" s="245"/>
      <c r="L329" s="65">
        <f>SUM(L332:L350)</f>
        <v>297000000</v>
      </c>
      <c r="M329" s="65">
        <f>SUM(M332:M350)</f>
        <v>0</v>
      </c>
      <c r="N329" s="65">
        <f>SUM(N332:N350)</f>
        <v>0</v>
      </c>
      <c r="O329" s="65">
        <f>SUM(O332:O350)</f>
        <v>0</v>
      </c>
      <c r="P329" s="65">
        <f>SUM(P332:P350)</f>
        <v>0</v>
      </c>
      <c r="Q329" s="65">
        <f>SUM(N329:P329)</f>
        <v>0</v>
      </c>
      <c r="R329" s="66"/>
      <c r="S329" s="65">
        <f>M329-Q329</f>
        <v>0</v>
      </c>
      <c r="T329" s="65">
        <f>SUM(T332:T350)</f>
        <v>297000000</v>
      </c>
      <c r="U329" s="65">
        <f>T329+M329</f>
        <v>297000000</v>
      </c>
      <c r="V329" s="65">
        <f>T329+S329</f>
        <v>297000000</v>
      </c>
      <c r="W329" s="65">
        <f t="shared" ref="W329:AB329" si="91">SUM(W332:W350)</f>
        <v>0</v>
      </c>
      <c r="X329" s="65">
        <f t="shared" si="91"/>
        <v>0</v>
      </c>
      <c r="Y329" s="65">
        <f t="shared" si="91"/>
        <v>0</v>
      </c>
      <c r="Z329" s="65">
        <f t="shared" si="91"/>
        <v>158188000</v>
      </c>
      <c r="AA329" s="65">
        <f t="shared" si="91"/>
        <v>0</v>
      </c>
      <c r="AB329" s="65">
        <f t="shared" si="91"/>
        <v>297000000</v>
      </c>
      <c r="AC329" s="65">
        <f t="shared" si="89"/>
        <v>0</v>
      </c>
      <c r="AD329" s="65">
        <f>AA329+T329+M329</f>
        <v>297000000</v>
      </c>
      <c r="AE329" s="65">
        <f t="shared" ref="AE329:AK329" si="92">SUM(AE332:AE350)</f>
        <v>105028000</v>
      </c>
      <c r="AF329" s="65">
        <f t="shared" si="92"/>
        <v>0</v>
      </c>
      <c r="AG329" s="65">
        <f t="shared" si="92"/>
        <v>0</v>
      </c>
      <c r="AH329" s="65">
        <f t="shared" si="92"/>
        <v>0</v>
      </c>
      <c r="AI329" s="65">
        <f t="shared" si="92"/>
        <v>0</v>
      </c>
      <c r="AJ329" s="65">
        <f t="shared" si="92"/>
        <v>5300000</v>
      </c>
      <c r="AK329" s="65">
        <f t="shared" si="92"/>
        <v>268516000</v>
      </c>
      <c r="AL329" s="65">
        <f>AK329/AB329*100</f>
        <v>90.40942760942761</v>
      </c>
      <c r="AM329" s="65">
        <f>SUM(AM332:AM350)</f>
        <v>0</v>
      </c>
      <c r="AN329" s="65">
        <f>SUM(AN332:AN350)</f>
        <v>0</v>
      </c>
      <c r="AO329" s="65">
        <f>SUM(AO332:AO350)</f>
        <v>0</v>
      </c>
      <c r="AP329" s="65">
        <f>SUM(AP332:AP350)</f>
        <v>0</v>
      </c>
      <c r="AQ329" s="65">
        <f>AK329+AM329+AN329+AO329+AP329</f>
        <v>268516000</v>
      </c>
      <c r="AR329" s="65">
        <f>AQ329/AB329*100</f>
        <v>90.40942760942761</v>
      </c>
      <c r="AS329" s="65">
        <f>AB329-AQ329</f>
        <v>28484000</v>
      </c>
      <c r="AT329" s="65">
        <f>SUM(AT332:AT338)</f>
        <v>12366000</v>
      </c>
      <c r="AU329" s="65">
        <f>AT329+U329</f>
        <v>309366000</v>
      </c>
      <c r="AV329" s="65">
        <f>AK329</f>
        <v>268516000</v>
      </c>
      <c r="AW329" s="66">
        <f>AV329/AU329*100</f>
        <v>86.795575467245911</v>
      </c>
      <c r="AX329" s="65">
        <f>AU329-AV329</f>
        <v>40850000</v>
      </c>
      <c r="AY329" s="65">
        <f>AS329/AB329*100</f>
        <v>9.5905723905723903</v>
      </c>
      <c r="AZ329" s="67">
        <f t="shared" si="88"/>
        <v>268516000</v>
      </c>
      <c r="BA329" s="29">
        <f>AS329</f>
        <v>28484000</v>
      </c>
    </row>
    <row r="330" spans="1:53" ht="20.100000000000001" hidden="1" customHeight="1">
      <c r="A330" s="68"/>
      <c r="B330" s="69"/>
      <c r="C330" s="240" t="s">
        <v>505</v>
      </c>
      <c r="D330" s="240"/>
      <c r="E330" s="241"/>
      <c r="F330" s="70"/>
      <c r="G330" s="71"/>
      <c r="H330" s="240" t="s">
        <v>10</v>
      </c>
      <c r="I330" s="240"/>
      <c r="J330" s="240"/>
      <c r="K330" s="241"/>
      <c r="L330" s="49"/>
      <c r="M330" s="49"/>
      <c r="N330" s="49"/>
      <c r="O330" s="49"/>
      <c r="P330" s="49"/>
      <c r="Q330" s="49"/>
      <c r="R330" s="72"/>
      <c r="S330" s="49"/>
      <c r="T330" s="49"/>
      <c r="U330" s="49"/>
      <c r="V330" s="49"/>
      <c r="W330" s="49"/>
      <c r="X330" s="49"/>
      <c r="Y330" s="49"/>
      <c r="Z330" s="49"/>
      <c r="AA330" s="49"/>
      <c r="AB330" s="49"/>
      <c r="AC330" s="49">
        <f t="shared" si="89"/>
        <v>0</v>
      </c>
      <c r="AD330" s="49"/>
      <c r="AE330" s="49"/>
      <c r="AF330" s="49"/>
      <c r="AG330" s="49"/>
      <c r="AH330" s="49"/>
      <c r="AI330" s="49"/>
      <c r="AJ330" s="49"/>
      <c r="AK330" s="49"/>
      <c r="AL330" s="49"/>
      <c r="AM330" s="49"/>
      <c r="AN330" s="49"/>
      <c r="AO330" s="49"/>
      <c r="AP330" s="49"/>
      <c r="AQ330" s="49"/>
      <c r="AR330" s="49"/>
      <c r="AS330" s="49"/>
      <c r="AT330" s="49"/>
      <c r="AU330" s="49"/>
      <c r="AV330" s="49"/>
      <c r="AW330" s="49"/>
      <c r="AX330" s="49"/>
      <c r="AY330" s="49"/>
      <c r="AZ330" s="73">
        <f t="shared" si="88"/>
        <v>0</v>
      </c>
    </row>
    <row r="331" spans="1:53" ht="20.100000000000001" hidden="1" customHeight="1">
      <c r="A331" s="68"/>
      <c r="B331" s="69"/>
      <c r="C331" s="240" t="s">
        <v>506</v>
      </c>
      <c r="D331" s="240"/>
      <c r="E331" s="241"/>
      <c r="F331" s="70"/>
      <c r="G331" s="71"/>
      <c r="H331" s="71"/>
      <c r="I331" s="240" t="s">
        <v>177</v>
      </c>
      <c r="J331" s="240"/>
      <c r="K331" s="241"/>
      <c r="L331" s="49"/>
      <c r="M331" s="49"/>
      <c r="N331" s="49"/>
      <c r="O331" s="49"/>
      <c r="P331" s="49"/>
      <c r="Q331" s="49"/>
      <c r="R331" s="72"/>
      <c r="S331" s="49"/>
      <c r="T331" s="49"/>
      <c r="U331" s="49"/>
      <c r="V331" s="49"/>
      <c r="W331" s="49"/>
      <c r="X331" s="49"/>
      <c r="Y331" s="49"/>
      <c r="Z331" s="49"/>
      <c r="AA331" s="49"/>
      <c r="AB331" s="49"/>
      <c r="AC331" s="49">
        <f t="shared" si="89"/>
        <v>0</v>
      </c>
      <c r="AD331" s="49"/>
      <c r="AE331" s="49"/>
      <c r="AF331" s="49"/>
      <c r="AG331" s="49"/>
      <c r="AH331" s="49"/>
      <c r="AI331" s="49"/>
      <c r="AJ331" s="49"/>
      <c r="AK331" s="49"/>
      <c r="AL331" s="49"/>
      <c r="AM331" s="49"/>
      <c r="AN331" s="49"/>
      <c r="AO331" s="49"/>
      <c r="AP331" s="49"/>
      <c r="AQ331" s="49"/>
      <c r="AR331" s="49"/>
      <c r="AS331" s="49"/>
      <c r="AT331" s="49"/>
      <c r="AU331" s="49"/>
      <c r="AV331" s="49"/>
      <c r="AW331" s="49"/>
      <c r="AX331" s="49"/>
      <c r="AY331" s="49"/>
      <c r="AZ331" s="73">
        <f t="shared" si="88"/>
        <v>0</v>
      </c>
    </row>
    <row r="332" spans="1:53" ht="20.100000000000001" hidden="1" customHeight="1">
      <c r="A332" s="68"/>
      <c r="B332" s="69"/>
      <c r="C332" s="240" t="s">
        <v>507</v>
      </c>
      <c r="D332" s="240"/>
      <c r="E332" s="241"/>
      <c r="F332" s="70"/>
      <c r="G332" s="71"/>
      <c r="H332" s="71"/>
      <c r="I332" s="71"/>
      <c r="J332" s="240" t="s">
        <v>283</v>
      </c>
      <c r="K332" s="241"/>
      <c r="L332" s="49">
        <v>13250000</v>
      </c>
      <c r="M332" s="49">
        <v>0</v>
      </c>
      <c r="N332" s="49"/>
      <c r="O332" s="49"/>
      <c r="P332" s="49"/>
      <c r="Q332" s="49">
        <f>SUM(N332:P332)</f>
        <v>0</v>
      </c>
      <c r="R332" s="72"/>
      <c r="S332" s="49">
        <f>M332-Q332</f>
        <v>0</v>
      </c>
      <c r="T332" s="49">
        <v>13250000</v>
      </c>
      <c r="U332" s="49">
        <f>T332+M332</f>
        <v>13250000</v>
      </c>
      <c r="V332" s="49">
        <f>T332+S332</f>
        <v>13250000</v>
      </c>
      <c r="W332" s="49"/>
      <c r="X332" s="49"/>
      <c r="Y332" s="49"/>
      <c r="Z332" s="49">
        <v>2650000</v>
      </c>
      <c r="AA332" s="49">
        <v>0</v>
      </c>
      <c r="AB332" s="49">
        <v>13250000</v>
      </c>
      <c r="AC332" s="49">
        <f t="shared" si="89"/>
        <v>0</v>
      </c>
      <c r="AD332" s="49">
        <f>AA332+T332+M332</f>
        <v>13250000</v>
      </c>
      <c r="AE332" s="49"/>
      <c r="AF332" s="49"/>
      <c r="AG332" s="49"/>
      <c r="AH332" s="49"/>
      <c r="AI332" s="49"/>
      <c r="AJ332" s="49">
        <v>5300000</v>
      </c>
      <c r="AK332" s="49">
        <f>Z332+Y332+X332+W332+N332+AG332+AJ332+AI332+AH332</f>
        <v>7950000</v>
      </c>
      <c r="AL332" s="49">
        <f>AK332/AD332*100</f>
        <v>60</v>
      </c>
      <c r="AM332" s="49"/>
      <c r="AN332" s="49"/>
      <c r="AO332" s="49"/>
      <c r="AP332" s="49"/>
      <c r="AQ332" s="49">
        <f>AK332+AM332+AN332+AO332+AP332</f>
        <v>7950000</v>
      </c>
      <c r="AR332" s="49">
        <f>AQ332/AB332*100</f>
        <v>60</v>
      </c>
      <c r="AS332" s="49">
        <f>AB332-AQ332</f>
        <v>5300000</v>
      </c>
      <c r="AT332" s="49">
        <v>3091500</v>
      </c>
      <c r="AU332" s="49">
        <f>AT332+U332</f>
        <v>16341500</v>
      </c>
      <c r="AV332" s="49">
        <f>AK332</f>
        <v>7950000</v>
      </c>
      <c r="AW332" s="72">
        <f>AV332/AU332*100</f>
        <v>48.649144815347427</v>
      </c>
      <c r="AX332" s="49">
        <f>AU332-AV332</f>
        <v>8391500</v>
      </c>
      <c r="AY332" s="49">
        <f>AS332/AB332*100</f>
        <v>40</v>
      </c>
      <c r="AZ332" s="73">
        <f t="shared" si="88"/>
        <v>7950000</v>
      </c>
    </row>
    <row r="333" spans="1:53" ht="20.100000000000001" hidden="1" customHeight="1">
      <c r="A333" s="68"/>
      <c r="B333" s="69"/>
      <c r="C333" s="240" t="s">
        <v>508</v>
      </c>
      <c r="D333" s="240"/>
      <c r="E333" s="241"/>
      <c r="F333" s="70"/>
      <c r="G333" s="71"/>
      <c r="H333" s="71"/>
      <c r="I333" s="71"/>
      <c r="J333" s="240" t="s">
        <v>384</v>
      </c>
      <c r="K333" s="241"/>
      <c r="L333" s="49">
        <v>2000000</v>
      </c>
      <c r="M333" s="49">
        <v>0</v>
      </c>
      <c r="N333" s="49"/>
      <c r="O333" s="49"/>
      <c r="P333" s="49"/>
      <c r="Q333" s="49">
        <f>SUM(N333:P333)</f>
        <v>0</v>
      </c>
      <c r="R333" s="72"/>
      <c r="S333" s="49">
        <f>M333-Q333</f>
        <v>0</v>
      </c>
      <c r="T333" s="49">
        <v>2000000</v>
      </c>
      <c r="U333" s="49">
        <f>T333+M333</f>
        <v>2000000</v>
      </c>
      <c r="V333" s="49">
        <f>T333+S333</f>
        <v>2000000</v>
      </c>
      <c r="W333" s="49"/>
      <c r="X333" s="49"/>
      <c r="Y333" s="49"/>
      <c r="Z333" s="49">
        <v>2000000</v>
      </c>
      <c r="AA333" s="49">
        <v>0</v>
      </c>
      <c r="AB333" s="49">
        <v>2000000</v>
      </c>
      <c r="AC333" s="49">
        <f t="shared" si="89"/>
        <v>0</v>
      </c>
      <c r="AD333" s="49">
        <f>AA333+T333+M333</f>
        <v>2000000</v>
      </c>
      <c r="AE333" s="49"/>
      <c r="AF333" s="49"/>
      <c r="AG333" s="49"/>
      <c r="AH333" s="49"/>
      <c r="AI333" s="49"/>
      <c r="AJ333" s="49"/>
      <c r="AK333" s="49">
        <f>Z333+Y333+X333+W333+N333+AG333+AJ333+AI333+AH333</f>
        <v>2000000</v>
      </c>
      <c r="AL333" s="49">
        <f>AK333/AD333*100</f>
        <v>100</v>
      </c>
      <c r="AM333" s="49"/>
      <c r="AN333" s="49"/>
      <c r="AO333" s="49"/>
      <c r="AP333" s="49"/>
      <c r="AQ333" s="49">
        <f>AK333+AM333+AN333+AO333+AP333</f>
        <v>2000000</v>
      </c>
      <c r="AR333" s="49">
        <f>AQ333/AB333*100</f>
        <v>100</v>
      </c>
      <c r="AS333" s="49">
        <f>AB333-AQ333</f>
        <v>0</v>
      </c>
      <c r="AT333" s="49">
        <v>3091500</v>
      </c>
      <c r="AU333" s="49">
        <f>AT333+U333</f>
        <v>5091500</v>
      </c>
      <c r="AV333" s="49">
        <f>AK333</f>
        <v>2000000</v>
      </c>
      <c r="AW333" s="72">
        <f>AV333/AU333*100</f>
        <v>39.281154865953063</v>
      </c>
      <c r="AX333" s="49">
        <f>AU333-AV333</f>
        <v>3091500</v>
      </c>
      <c r="AY333" s="49">
        <f>AS333/AB333*100</f>
        <v>0</v>
      </c>
      <c r="AZ333" s="73">
        <f t="shared" si="88"/>
        <v>2000000</v>
      </c>
    </row>
    <row r="334" spans="1:53" ht="20.100000000000001" hidden="1" customHeight="1">
      <c r="A334" s="68"/>
      <c r="B334" s="69"/>
      <c r="C334" s="240" t="s">
        <v>509</v>
      </c>
      <c r="D334" s="240"/>
      <c r="E334" s="241"/>
      <c r="F334" s="70"/>
      <c r="G334" s="71"/>
      <c r="H334" s="240" t="s">
        <v>143</v>
      </c>
      <c r="I334" s="240"/>
      <c r="J334" s="240"/>
      <c r="K334" s="241"/>
      <c r="L334" s="49"/>
      <c r="M334" s="49"/>
      <c r="N334" s="49"/>
      <c r="O334" s="49"/>
      <c r="P334" s="49"/>
      <c r="Q334" s="49"/>
      <c r="R334" s="72"/>
      <c r="S334" s="49"/>
      <c r="T334" s="49"/>
      <c r="U334" s="49"/>
      <c r="V334" s="49"/>
      <c r="W334" s="49"/>
      <c r="X334" s="49"/>
      <c r="Y334" s="49"/>
      <c r="Z334" s="49"/>
      <c r="AA334" s="49"/>
      <c r="AB334" s="49"/>
      <c r="AC334" s="49">
        <f t="shared" si="89"/>
        <v>0</v>
      </c>
      <c r="AD334" s="49"/>
      <c r="AE334" s="49"/>
      <c r="AF334" s="49"/>
      <c r="AG334" s="49"/>
      <c r="AH334" s="49"/>
      <c r="AI334" s="49"/>
      <c r="AJ334" s="49"/>
      <c r="AK334" s="49"/>
      <c r="AL334" s="49"/>
      <c r="AM334" s="49"/>
      <c r="AN334" s="49"/>
      <c r="AO334" s="49"/>
      <c r="AP334" s="49"/>
      <c r="AQ334" s="49"/>
      <c r="AR334" s="49"/>
      <c r="AS334" s="49"/>
      <c r="AT334" s="49"/>
      <c r="AU334" s="49"/>
      <c r="AV334" s="49"/>
      <c r="AW334" s="49"/>
      <c r="AX334" s="49"/>
      <c r="AY334" s="49"/>
      <c r="AZ334" s="73">
        <f t="shared" si="88"/>
        <v>0</v>
      </c>
    </row>
    <row r="335" spans="1:53" ht="20.100000000000001" hidden="1" customHeight="1">
      <c r="A335" s="68"/>
      <c r="B335" s="69"/>
      <c r="C335" s="240" t="s">
        <v>510</v>
      </c>
      <c r="D335" s="240"/>
      <c r="E335" s="241"/>
      <c r="F335" s="70"/>
      <c r="G335" s="71"/>
      <c r="H335" s="71"/>
      <c r="I335" s="240" t="s">
        <v>145</v>
      </c>
      <c r="J335" s="240"/>
      <c r="K335" s="241"/>
      <c r="L335" s="49"/>
      <c r="M335" s="49"/>
      <c r="N335" s="49"/>
      <c r="O335" s="49"/>
      <c r="P335" s="49"/>
      <c r="Q335" s="49"/>
      <c r="R335" s="72"/>
      <c r="S335" s="49"/>
      <c r="T335" s="49"/>
      <c r="U335" s="49"/>
      <c r="V335" s="49"/>
      <c r="W335" s="49"/>
      <c r="X335" s="49"/>
      <c r="Y335" s="49"/>
      <c r="Z335" s="49"/>
      <c r="AA335" s="49"/>
      <c r="AB335" s="49"/>
      <c r="AC335" s="49">
        <f t="shared" si="89"/>
        <v>0</v>
      </c>
      <c r="AD335" s="49"/>
      <c r="AE335" s="49"/>
      <c r="AF335" s="49"/>
      <c r="AG335" s="49"/>
      <c r="AH335" s="49"/>
      <c r="AI335" s="49"/>
      <c r="AJ335" s="49"/>
      <c r="AK335" s="49"/>
      <c r="AL335" s="49"/>
      <c r="AM335" s="49"/>
      <c r="AN335" s="49"/>
      <c r="AO335" s="49"/>
      <c r="AP335" s="49"/>
      <c r="AQ335" s="49"/>
      <c r="AR335" s="49"/>
      <c r="AS335" s="49"/>
      <c r="AT335" s="49"/>
      <c r="AU335" s="49"/>
      <c r="AV335" s="49"/>
      <c r="AW335" s="49"/>
      <c r="AX335" s="49"/>
      <c r="AY335" s="49"/>
      <c r="AZ335" s="73">
        <f t="shared" si="88"/>
        <v>0</v>
      </c>
    </row>
    <row r="336" spans="1:53" ht="20.100000000000001" hidden="1" customHeight="1">
      <c r="A336" s="68"/>
      <c r="B336" s="69"/>
      <c r="C336" s="240" t="s">
        <v>511</v>
      </c>
      <c r="D336" s="240"/>
      <c r="E336" s="241"/>
      <c r="F336" s="70"/>
      <c r="G336" s="71"/>
      <c r="H336" s="71"/>
      <c r="I336" s="71"/>
      <c r="J336" s="240" t="s">
        <v>147</v>
      </c>
      <c r="K336" s="241"/>
      <c r="L336" s="49">
        <v>7383000</v>
      </c>
      <c r="M336" s="49">
        <v>0</v>
      </c>
      <c r="N336" s="49"/>
      <c r="O336" s="49"/>
      <c r="P336" s="49"/>
      <c r="Q336" s="49">
        <f>SUM(N336:P336)</f>
        <v>0</v>
      </c>
      <c r="R336" s="72"/>
      <c r="S336" s="49">
        <f>M336-Q336</f>
        <v>0</v>
      </c>
      <c r="T336" s="49">
        <v>7383000</v>
      </c>
      <c r="U336" s="49">
        <f>T336+M336</f>
        <v>7383000</v>
      </c>
      <c r="V336" s="49">
        <f>T336+S336</f>
        <v>7383000</v>
      </c>
      <c r="W336" s="49"/>
      <c r="X336" s="49"/>
      <c r="Y336" s="49"/>
      <c r="Z336" s="49">
        <v>7372000</v>
      </c>
      <c r="AA336" s="49">
        <v>0</v>
      </c>
      <c r="AB336" s="49">
        <v>7383000</v>
      </c>
      <c r="AC336" s="49">
        <f t="shared" si="89"/>
        <v>0</v>
      </c>
      <c r="AD336" s="49">
        <f>AA336+T336+M336</f>
        <v>7383000</v>
      </c>
      <c r="AE336" s="49"/>
      <c r="AF336" s="49"/>
      <c r="AG336" s="49"/>
      <c r="AH336" s="49"/>
      <c r="AI336" s="49"/>
      <c r="AJ336" s="49"/>
      <c r="AK336" s="49">
        <f>Z336+Y336+X336+W336+N336+AG336+AJ336+AI336+AH336</f>
        <v>7372000</v>
      </c>
      <c r="AL336" s="49">
        <f>AK336/AD336*100</f>
        <v>99.851009074901796</v>
      </c>
      <c r="AM336" s="49"/>
      <c r="AN336" s="49"/>
      <c r="AO336" s="49"/>
      <c r="AP336" s="49"/>
      <c r="AQ336" s="49">
        <f>AK336+AM336+AN336+AO336+AP336</f>
        <v>7372000</v>
      </c>
      <c r="AR336" s="49">
        <f>AQ336/AB336*100</f>
        <v>99.851009074901796</v>
      </c>
      <c r="AS336" s="49">
        <f>AB336-AQ336</f>
        <v>11000</v>
      </c>
      <c r="AT336" s="49">
        <v>3091500</v>
      </c>
      <c r="AU336" s="49">
        <f>AT336+U336</f>
        <v>10474500</v>
      </c>
      <c r="AV336" s="49">
        <f>AK336</f>
        <v>7372000</v>
      </c>
      <c r="AW336" s="72">
        <f>AV336/AU336*100</f>
        <v>70.380447754069408</v>
      </c>
      <c r="AX336" s="49">
        <f>AU336-AV336</f>
        <v>3102500</v>
      </c>
      <c r="AY336" s="49">
        <f>AS336/AB336*100</f>
        <v>0.14899092509819856</v>
      </c>
      <c r="AZ336" s="73">
        <f t="shared" si="88"/>
        <v>7372000</v>
      </c>
    </row>
    <row r="337" spans="1:54" ht="20.100000000000001" hidden="1" customHeight="1">
      <c r="A337" s="68"/>
      <c r="B337" s="69"/>
      <c r="C337" s="240" t="s">
        <v>512</v>
      </c>
      <c r="D337" s="240"/>
      <c r="E337" s="241"/>
      <c r="F337" s="70"/>
      <c r="G337" s="71"/>
      <c r="H337" s="71"/>
      <c r="I337" s="240" t="s">
        <v>389</v>
      </c>
      <c r="J337" s="240"/>
      <c r="K337" s="241"/>
      <c r="L337" s="49"/>
      <c r="M337" s="49"/>
      <c r="N337" s="49"/>
      <c r="O337" s="49"/>
      <c r="P337" s="49"/>
      <c r="Q337" s="49"/>
      <c r="R337" s="72"/>
      <c r="S337" s="49"/>
      <c r="T337" s="49"/>
      <c r="U337" s="49"/>
      <c r="V337" s="49"/>
      <c r="W337" s="49"/>
      <c r="X337" s="49"/>
      <c r="Y337" s="49"/>
      <c r="Z337" s="49"/>
      <c r="AA337" s="49"/>
      <c r="AB337" s="49"/>
      <c r="AC337" s="49">
        <f t="shared" si="89"/>
        <v>0</v>
      </c>
      <c r="AD337" s="49"/>
      <c r="AE337" s="49"/>
      <c r="AF337" s="49"/>
      <c r="AG337" s="49"/>
      <c r="AH337" s="49"/>
      <c r="AI337" s="49"/>
      <c r="AJ337" s="49"/>
      <c r="AK337" s="49"/>
      <c r="AL337" s="49"/>
      <c r="AM337" s="49"/>
      <c r="AN337" s="49"/>
      <c r="AO337" s="49"/>
      <c r="AP337" s="49"/>
      <c r="AQ337" s="49"/>
      <c r="AR337" s="49"/>
      <c r="AS337" s="49"/>
      <c r="AT337" s="49"/>
      <c r="AU337" s="49"/>
      <c r="AV337" s="49"/>
      <c r="AW337" s="49"/>
      <c r="AX337" s="49"/>
      <c r="AY337" s="49"/>
      <c r="AZ337" s="73">
        <f t="shared" si="88"/>
        <v>0</v>
      </c>
    </row>
    <row r="338" spans="1:54" ht="20.100000000000001" hidden="1" customHeight="1">
      <c r="A338" s="68"/>
      <c r="B338" s="69"/>
      <c r="C338" s="240" t="s">
        <v>513</v>
      </c>
      <c r="D338" s="240"/>
      <c r="E338" s="241"/>
      <c r="F338" s="70"/>
      <c r="G338" s="71"/>
      <c r="H338" s="71"/>
      <c r="I338" s="71"/>
      <c r="J338" s="240" t="s">
        <v>391</v>
      </c>
      <c r="K338" s="241"/>
      <c r="L338" s="49">
        <v>143840000</v>
      </c>
      <c r="M338" s="49">
        <v>0</v>
      </c>
      <c r="N338" s="49"/>
      <c r="O338" s="49"/>
      <c r="P338" s="49"/>
      <c r="Q338" s="49">
        <f>SUM(N338:P338)</f>
        <v>0</v>
      </c>
      <c r="R338" s="72"/>
      <c r="S338" s="49">
        <f>M338-Q338</f>
        <v>0</v>
      </c>
      <c r="T338" s="49">
        <v>143840000</v>
      </c>
      <c r="U338" s="49">
        <f>T338+M338</f>
        <v>143840000</v>
      </c>
      <c r="V338" s="49">
        <f>T338+S338</f>
        <v>143840000</v>
      </c>
      <c r="W338" s="49"/>
      <c r="X338" s="49"/>
      <c r="Y338" s="49"/>
      <c r="Z338" s="49">
        <v>30040000</v>
      </c>
      <c r="AA338" s="49">
        <v>0</v>
      </c>
      <c r="AB338" s="49">
        <v>143840000</v>
      </c>
      <c r="AC338" s="49">
        <f t="shared" si="89"/>
        <v>0</v>
      </c>
      <c r="AD338" s="49">
        <f>AA338+T338+M338</f>
        <v>143840000</v>
      </c>
      <c r="AE338" s="49">
        <v>105028000</v>
      </c>
      <c r="AF338" s="49">
        <v>0</v>
      </c>
      <c r="AG338" s="49"/>
      <c r="AH338" s="49"/>
      <c r="AI338" s="49"/>
      <c r="AJ338" s="49"/>
      <c r="AK338" s="49">
        <f>Z338+Y338+X338+W338+N338+AG338+AJ338+AI338+AH338+105028000</f>
        <v>135068000</v>
      </c>
      <c r="AL338" s="49">
        <f>AK338/AD338*100</f>
        <v>93.901557285873196</v>
      </c>
      <c r="AM338" s="49"/>
      <c r="AN338" s="49"/>
      <c r="AO338" s="49"/>
      <c r="AP338" s="49"/>
      <c r="AQ338" s="49">
        <f>AK338+AM338+AN338+AO338+AP338</f>
        <v>135068000</v>
      </c>
      <c r="AR338" s="49">
        <f>AQ338/AB338*100</f>
        <v>93.901557285873196</v>
      </c>
      <c r="AS338" s="49">
        <f>AB338-AQ338</f>
        <v>8772000</v>
      </c>
      <c r="AT338" s="49">
        <v>3091500</v>
      </c>
      <c r="AU338" s="49">
        <f>AT338+U338</f>
        <v>146931500</v>
      </c>
      <c r="AV338" s="49">
        <f>AK338</f>
        <v>135068000</v>
      </c>
      <c r="AW338" s="72">
        <f>AV338/AU338*100</f>
        <v>91.925829383079872</v>
      </c>
      <c r="AX338" s="49">
        <f>AU338-AV338</f>
        <v>11863500</v>
      </c>
      <c r="AY338" s="49">
        <f>AS338/AB338*100</f>
        <v>6.0984427141268078</v>
      </c>
      <c r="AZ338" s="73">
        <f t="shared" si="88"/>
        <v>135068000</v>
      </c>
    </row>
    <row r="339" spans="1:54" ht="20.100000000000001" hidden="1" customHeight="1">
      <c r="A339" s="68"/>
      <c r="B339" s="69"/>
      <c r="C339" s="240" t="s">
        <v>514</v>
      </c>
      <c r="D339" s="240"/>
      <c r="E339" s="241"/>
      <c r="F339" s="70"/>
      <c r="G339" s="71"/>
      <c r="H339" s="71"/>
      <c r="I339" s="240" t="s">
        <v>163</v>
      </c>
      <c r="J339" s="240"/>
      <c r="K339" s="241"/>
      <c r="L339" s="49"/>
      <c r="M339" s="49"/>
      <c r="N339" s="49"/>
      <c r="O339" s="49"/>
      <c r="P339" s="49"/>
      <c r="Q339" s="49"/>
      <c r="R339" s="72"/>
      <c r="S339" s="49"/>
      <c r="T339" s="49"/>
      <c r="U339" s="49"/>
      <c r="V339" s="49"/>
      <c r="W339" s="49"/>
      <c r="X339" s="49"/>
      <c r="Y339" s="49"/>
      <c r="Z339" s="49"/>
      <c r="AA339" s="49"/>
      <c r="AB339" s="49"/>
      <c r="AC339" s="49">
        <f t="shared" si="89"/>
        <v>0</v>
      </c>
      <c r="AD339" s="49"/>
      <c r="AE339" s="49"/>
      <c r="AF339" s="49"/>
      <c r="AG339" s="49"/>
      <c r="AH339" s="49"/>
      <c r="AI339" s="49"/>
      <c r="AJ339" s="49"/>
      <c r="AK339" s="49"/>
      <c r="AL339" s="49"/>
      <c r="AM339" s="49"/>
      <c r="AN339" s="49"/>
      <c r="AO339" s="49"/>
      <c r="AP339" s="49"/>
      <c r="AQ339" s="49"/>
      <c r="AR339" s="49"/>
      <c r="AS339" s="49"/>
      <c r="AT339" s="49"/>
      <c r="AU339" s="49"/>
      <c r="AV339" s="49"/>
      <c r="AW339" s="49"/>
      <c r="AX339" s="49"/>
      <c r="AY339" s="49"/>
      <c r="AZ339" s="73">
        <f t="shared" si="88"/>
        <v>0</v>
      </c>
    </row>
    <row r="340" spans="1:54" ht="20.100000000000001" hidden="1" customHeight="1">
      <c r="A340" s="68"/>
      <c r="B340" s="69"/>
      <c r="C340" s="240" t="s">
        <v>515</v>
      </c>
      <c r="D340" s="240"/>
      <c r="E340" s="241"/>
      <c r="F340" s="70"/>
      <c r="G340" s="71"/>
      <c r="H340" s="71"/>
      <c r="I340" s="71"/>
      <c r="J340" s="240" t="s">
        <v>352</v>
      </c>
      <c r="K340" s="241"/>
      <c r="L340" s="49">
        <v>50000000</v>
      </c>
      <c r="M340" s="49">
        <v>0</v>
      </c>
      <c r="N340" s="49"/>
      <c r="O340" s="49"/>
      <c r="P340" s="49"/>
      <c r="Q340" s="49">
        <f>SUM(N340:P340)</f>
        <v>0</v>
      </c>
      <c r="R340" s="72"/>
      <c r="S340" s="49">
        <f>M340-Q340</f>
        <v>0</v>
      </c>
      <c r="T340" s="49">
        <v>50000000</v>
      </c>
      <c r="U340" s="49">
        <f>T340+M340</f>
        <v>50000000</v>
      </c>
      <c r="V340" s="49">
        <f>T340+S340</f>
        <v>50000000</v>
      </c>
      <c r="W340" s="49"/>
      <c r="X340" s="49"/>
      <c r="Y340" s="49"/>
      <c r="Z340" s="49">
        <v>50000000</v>
      </c>
      <c r="AA340" s="49">
        <v>0</v>
      </c>
      <c r="AB340" s="49">
        <v>50000000</v>
      </c>
      <c r="AC340" s="49">
        <f t="shared" si="89"/>
        <v>0</v>
      </c>
      <c r="AD340" s="49">
        <f>AA340+T340+M340</f>
        <v>50000000</v>
      </c>
      <c r="AE340" s="49"/>
      <c r="AF340" s="49"/>
      <c r="AG340" s="49"/>
      <c r="AH340" s="49"/>
      <c r="AI340" s="49"/>
      <c r="AJ340" s="49"/>
      <c r="AK340" s="49">
        <f>Z340+Y340+X340+W340+N340+AG340+AJ340+AI340+AH340</f>
        <v>50000000</v>
      </c>
      <c r="AL340" s="49">
        <f>AK340/AD340*100</f>
        <v>100</v>
      </c>
      <c r="AM340" s="49"/>
      <c r="AN340" s="49"/>
      <c r="AO340" s="49"/>
      <c r="AP340" s="49"/>
      <c r="AQ340" s="49">
        <f>AK340+AM340+AN340+AO340+AP340</f>
        <v>50000000</v>
      </c>
      <c r="AR340" s="49">
        <f>AQ340/AB340*100</f>
        <v>100</v>
      </c>
      <c r="AS340" s="49">
        <f>AB340-AQ340</f>
        <v>0</v>
      </c>
      <c r="AT340" s="49">
        <v>3091500</v>
      </c>
      <c r="AU340" s="49">
        <f>AT340+U340</f>
        <v>53091500</v>
      </c>
      <c r="AV340" s="49">
        <f>AK340</f>
        <v>50000000</v>
      </c>
      <c r="AW340" s="72">
        <f>AV340/AU340*100</f>
        <v>94.177033988491559</v>
      </c>
      <c r="AX340" s="49">
        <f>AU340-AV340</f>
        <v>3091500</v>
      </c>
      <c r="AY340" s="49">
        <f>AS340/AB340*100</f>
        <v>0</v>
      </c>
      <c r="AZ340" s="73">
        <f t="shared" si="88"/>
        <v>50000000</v>
      </c>
    </row>
    <row r="341" spans="1:54" ht="20.100000000000001" hidden="1" customHeight="1">
      <c r="A341" s="68"/>
      <c r="B341" s="69"/>
      <c r="C341" s="240" t="s">
        <v>516</v>
      </c>
      <c r="D341" s="240"/>
      <c r="E341" s="241"/>
      <c r="F341" s="70"/>
      <c r="G341" s="71"/>
      <c r="H341" s="71"/>
      <c r="I341" s="240" t="s">
        <v>151</v>
      </c>
      <c r="J341" s="240"/>
      <c r="K341" s="241"/>
      <c r="L341" s="49"/>
      <c r="M341" s="49"/>
      <c r="N341" s="49"/>
      <c r="O341" s="49"/>
      <c r="P341" s="49"/>
      <c r="Q341" s="49"/>
      <c r="R341" s="72"/>
      <c r="S341" s="49"/>
      <c r="T341" s="49"/>
      <c r="U341" s="49"/>
      <c r="V341" s="49"/>
      <c r="W341" s="49"/>
      <c r="X341" s="49"/>
      <c r="Y341" s="49"/>
      <c r="Z341" s="49"/>
      <c r="AA341" s="49"/>
      <c r="AB341" s="49"/>
      <c r="AC341" s="49">
        <f t="shared" si="89"/>
        <v>0</v>
      </c>
      <c r="AD341" s="49"/>
      <c r="AE341" s="49"/>
      <c r="AF341" s="49"/>
      <c r="AG341" s="49"/>
      <c r="AH341" s="49"/>
      <c r="AI341" s="49"/>
      <c r="AJ341" s="49"/>
      <c r="AK341" s="49"/>
      <c r="AL341" s="49"/>
      <c r="AM341" s="49"/>
      <c r="AN341" s="49"/>
      <c r="AO341" s="49"/>
      <c r="AP341" s="49"/>
      <c r="AQ341" s="49"/>
      <c r="AR341" s="49"/>
      <c r="AS341" s="49"/>
      <c r="AT341" s="49"/>
      <c r="AU341" s="49"/>
      <c r="AV341" s="49"/>
      <c r="AW341" s="49"/>
      <c r="AX341" s="49"/>
      <c r="AY341" s="49"/>
      <c r="AZ341" s="73">
        <f t="shared" si="88"/>
        <v>0</v>
      </c>
    </row>
    <row r="342" spans="1:54" ht="20.100000000000001" hidden="1" customHeight="1">
      <c r="A342" s="68"/>
      <c r="B342" s="69"/>
      <c r="C342" s="240" t="s">
        <v>517</v>
      </c>
      <c r="D342" s="240"/>
      <c r="E342" s="241"/>
      <c r="F342" s="70"/>
      <c r="G342" s="71"/>
      <c r="H342" s="71"/>
      <c r="I342" s="71"/>
      <c r="J342" s="240" t="s">
        <v>153</v>
      </c>
      <c r="K342" s="241"/>
      <c r="L342" s="49">
        <v>1600000</v>
      </c>
      <c r="M342" s="49">
        <v>0</v>
      </c>
      <c r="N342" s="49"/>
      <c r="O342" s="49"/>
      <c r="P342" s="49"/>
      <c r="Q342" s="49">
        <f>SUM(N342:P342)</f>
        <v>0</v>
      </c>
      <c r="R342" s="72"/>
      <c r="S342" s="49">
        <f>M342-Q342</f>
        <v>0</v>
      </c>
      <c r="T342" s="49">
        <v>1600000</v>
      </c>
      <c r="U342" s="49">
        <f>T342+M342</f>
        <v>1600000</v>
      </c>
      <c r="V342" s="49">
        <f>T342+S342</f>
        <v>1600000</v>
      </c>
      <c r="W342" s="49"/>
      <c r="X342" s="49"/>
      <c r="Y342" s="49"/>
      <c r="Z342" s="49">
        <v>1600000</v>
      </c>
      <c r="AA342" s="49">
        <v>0</v>
      </c>
      <c r="AB342" s="49">
        <v>1600000</v>
      </c>
      <c r="AC342" s="49">
        <f t="shared" si="89"/>
        <v>0</v>
      </c>
      <c r="AD342" s="49">
        <f>AA342+T342+M342</f>
        <v>1600000</v>
      </c>
      <c r="AE342" s="49"/>
      <c r="AF342" s="49"/>
      <c r="AG342" s="49"/>
      <c r="AH342" s="49"/>
      <c r="AI342" s="49"/>
      <c r="AJ342" s="49"/>
      <c r="AK342" s="49">
        <f>Z342+Y342+X342+W342+N342+AG342+AJ342+AI342+AH342</f>
        <v>1600000</v>
      </c>
      <c r="AL342" s="49">
        <f>AK342/AD342*100</f>
        <v>100</v>
      </c>
      <c r="AM342" s="49"/>
      <c r="AN342" s="49"/>
      <c r="AO342" s="49"/>
      <c r="AP342" s="49"/>
      <c r="AQ342" s="49">
        <f>AK342+AM342+AN342+AO342+AP342</f>
        <v>1600000</v>
      </c>
      <c r="AR342" s="49">
        <f>AQ342/AB342*100</f>
        <v>100</v>
      </c>
      <c r="AS342" s="49">
        <f>AB342-AQ342</f>
        <v>0</v>
      </c>
      <c r="AT342" s="49">
        <v>3091500</v>
      </c>
      <c r="AU342" s="49">
        <f>AT342+U342</f>
        <v>4691500</v>
      </c>
      <c r="AV342" s="49">
        <f>AK342</f>
        <v>1600000</v>
      </c>
      <c r="AW342" s="72">
        <f>AV342/AU342*100</f>
        <v>34.104231056165411</v>
      </c>
      <c r="AX342" s="49">
        <f>AU342-AV342</f>
        <v>3091500</v>
      </c>
      <c r="AY342" s="49">
        <f>AS342/AB342*100</f>
        <v>0</v>
      </c>
      <c r="AZ342" s="73">
        <f t="shared" si="88"/>
        <v>1600000</v>
      </c>
    </row>
    <row r="343" spans="1:54" ht="20.100000000000001" hidden="1" customHeight="1">
      <c r="A343" s="68"/>
      <c r="B343" s="69"/>
      <c r="C343" s="240" t="s">
        <v>518</v>
      </c>
      <c r="D343" s="240"/>
      <c r="E343" s="241"/>
      <c r="F343" s="70"/>
      <c r="G343" s="71"/>
      <c r="H343" s="71"/>
      <c r="I343" s="71"/>
      <c r="J343" s="240" t="s">
        <v>155</v>
      </c>
      <c r="K343" s="241"/>
      <c r="L343" s="49">
        <v>1527000</v>
      </c>
      <c r="M343" s="49">
        <v>0</v>
      </c>
      <c r="N343" s="49"/>
      <c r="O343" s="49"/>
      <c r="P343" s="49"/>
      <c r="Q343" s="49">
        <f>SUM(N343:P343)</f>
        <v>0</v>
      </c>
      <c r="R343" s="72"/>
      <c r="S343" s="49">
        <f>M343-Q343</f>
        <v>0</v>
      </c>
      <c r="T343" s="49">
        <v>1527000</v>
      </c>
      <c r="U343" s="49">
        <f>T343+M343</f>
        <v>1527000</v>
      </c>
      <c r="V343" s="49">
        <f>T343+S343</f>
        <v>1527000</v>
      </c>
      <c r="W343" s="49"/>
      <c r="X343" s="49"/>
      <c r="Y343" s="49"/>
      <c r="Z343" s="49">
        <v>1526000</v>
      </c>
      <c r="AA343" s="49">
        <v>0</v>
      </c>
      <c r="AB343" s="49">
        <v>1527000</v>
      </c>
      <c r="AC343" s="49">
        <f t="shared" si="89"/>
        <v>0</v>
      </c>
      <c r="AD343" s="49">
        <f>AA343+T343+M343</f>
        <v>1527000</v>
      </c>
      <c r="AE343" s="49"/>
      <c r="AF343" s="49"/>
      <c r="AG343" s="49"/>
      <c r="AH343" s="49"/>
      <c r="AI343" s="49"/>
      <c r="AJ343" s="49"/>
      <c r="AK343" s="49">
        <f>Z343+Y343+X343+W343+N343+AG343+AJ343+AI343+AH343</f>
        <v>1526000</v>
      </c>
      <c r="AL343" s="49">
        <f>AK343/AD343*100</f>
        <v>99.934512115258684</v>
      </c>
      <c r="AM343" s="49"/>
      <c r="AN343" s="49"/>
      <c r="AO343" s="49"/>
      <c r="AP343" s="49"/>
      <c r="AQ343" s="49">
        <f>AK343+AM343+AN343+AO343+AP343</f>
        <v>1526000</v>
      </c>
      <c r="AR343" s="49">
        <f>AQ343/AB343*100</f>
        <v>99.934512115258684</v>
      </c>
      <c r="AS343" s="49">
        <f>AB343-AQ343</f>
        <v>1000</v>
      </c>
      <c r="AT343" s="49">
        <v>3091500</v>
      </c>
      <c r="AU343" s="49">
        <f>AT343+U343</f>
        <v>4618500</v>
      </c>
      <c r="AV343" s="49">
        <f>AK343</f>
        <v>1526000</v>
      </c>
      <c r="AW343" s="72">
        <f>AV343/AU343*100</f>
        <v>33.041030637652916</v>
      </c>
      <c r="AX343" s="49">
        <f>AU343-AV343</f>
        <v>3092500</v>
      </c>
      <c r="AY343" s="49">
        <f>AS343/AB343*100</f>
        <v>6.548788474132286E-2</v>
      </c>
      <c r="AZ343" s="73">
        <f t="shared" si="88"/>
        <v>1526000</v>
      </c>
    </row>
    <row r="344" spans="1:54" ht="20.100000000000001" hidden="1" customHeight="1">
      <c r="A344" s="68"/>
      <c r="B344" s="69"/>
      <c r="C344" s="240" t="s">
        <v>519</v>
      </c>
      <c r="D344" s="240"/>
      <c r="E344" s="241"/>
      <c r="F344" s="70"/>
      <c r="G344" s="71"/>
      <c r="H344" s="71"/>
      <c r="I344" s="240" t="s">
        <v>193</v>
      </c>
      <c r="J344" s="240"/>
      <c r="K344" s="241"/>
      <c r="L344" s="49"/>
      <c r="M344" s="49"/>
      <c r="N344" s="49"/>
      <c r="O344" s="49"/>
      <c r="P344" s="49"/>
      <c r="Q344" s="49"/>
      <c r="R344" s="72"/>
      <c r="S344" s="49"/>
      <c r="T344" s="49"/>
      <c r="U344" s="49"/>
      <c r="V344" s="49"/>
      <c r="W344" s="49"/>
      <c r="X344" s="49"/>
      <c r="Y344" s="49"/>
      <c r="Z344" s="49"/>
      <c r="AA344" s="49"/>
      <c r="AB344" s="49"/>
      <c r="AC344" s="49">
        <f t="shared" si="89"/>
        <v>0</v>
      </c>
      <c r="AD344" s="49"/>
      <c r="AE344" s="49"/>
      <c r="AF344" s="49"/>
      <c r="AG344" s="49"/>
      <c r="AH344" s="49"/>
      <c r="AI344" s="49"/>
      <c r="AJ344" s="49"/>
      <c r="AK344" s="49"/>
      <c r="AL344" s="49"/>
      <c r="AM344" s="49"/>
      <c r="AN344" s="49"/>
      <c r="AO344" s="49"/>
      <c r="AP344" s="49"/>
      <c r="AQ344" s="49"/>
      <c r="AR344" s="49"/>
      <c r="AS344" s="49"/>
      <c r="AT344" s="49"/>
      <c r="AU344" s="49"/>
      <c r="AV344" s="49"/>
      <c r="AW344" s="49"/>
      <c r="AX344" s="49"/>
      <c r="AY344" s="49"/>
      <c r="AZ344" s="73">
        <f t="shared" si="88"/>
        <v>0</v>
      </c>
    </row>
    <row r="345" spans="1:54" ht="20.100000000000001" hidden="1" customHeight="1">
      <c r="A345" s="68"/>
      <c r="B345" s="69"/>
      <c r="C345" s="240" t="s">
        <v>520</v>
      </c>
      <c r="D345" s="240"/>
      <c r="E345" s="241"/>
      <c r="F345" s="70"/>
      <c r="G345" s="71"/>
      <c r="H345" s="71"/>
      <c r="I345" s="71"/>
      <c r="J345" s="240" t="s">
        <v>195</v>
      </c>
      <c r="K345" s="241"/>
      <c r="L345" s="49">
        <v>36750000</v>
      </c>
      <c r="M345" s="49">
        <v>0</v>
      </c>
      <c r="N345" s="49"/>
      <c r="O345" s="49"/>
      <c r="P345" s="49"/>
      <c r="Q345" s="49">
        <f>SUM(N345:P345)</f>
        <v>0</v>
      </c>
      <c r="R345" s="72"/>
      <c r="S345" s="49">
        <f>M345-Q345</f>
        <v>0</v>
      </c>
      <c r="T345" s="49">
        <v>36750000</v>
      </c>
      <c r="U345" s="49">
        <f>T345+M345</f>
        <v>36750000</v>
      </c>
      <c r="V345" s="49">
        <f>T345+S345</f>
        <v>36750000</v>
      </c>
      <c r="W345" s="49"/>
      <c r="X345" s="49"/>
      <c r="Y345" s="49"/>
      <c r="Z345" s="49">
        <v>36750000</v>
      </c>
      <c r="AA345" s="49">
        <v>0</v>
      </c>
      <c r="AB345" s="49">
        <v>36750000</v>
      </c>
      <c r="AC345" s="49">
        <f t="shared" si="89"/>
        <v>0</v>
      </c>
      <c r="AD345" s="49">
        <f>AA345+T345+M345</f>
        <v>36750000</v>
      </c>
      <c r="AE345" s="49"/>
      <c r="AF345" s="49"/>
      <c r="AG345" s="49"/>
      <c r="AH345" s="49"/>
      <c r="AI345" s="49"/>
      <c r="AJ345" s="49"/>
      <c r="AK345" s="49">
        <f>Z345+Y345+X345+W345+N345+AG345+AJ345+AI345+AH345</f>
        <v>36750000</v>
      </c>
      <c r="AL345" s="49">
        <f>AK345/AD345*100</f>
        <v>100</v>
      </c>
      <c r="AM345" s="49"/>
      <c r="AN345" s="49"/>
      <c r="AO345" s="49"/>
      <c r="AP345" s="49"/>
      <c r="AQ345" s="49">
        <f>AK345+AM345+AN345+AO345+AP345</f>
        <v>36750000</v>
      </c>
      <c r="AR345" s="49">
        <f>AQ345/AB345*100</f>
        <v>100</v>
      </c>
      <c r="AS345" s="49">
        <f>AB345-AQ345</f>
        <v>0</v>
      </c>
      <c r="AT345" s="49">
        <v>3091500</v>
      </c>
      <c r="AU345" s="49">
        <f>AT345+U345</f>
        <v>39841500</v>
      </c>
      <c r="AV345" s="49">
        <f>AK345</f>
        <v>36750000</v>
      </c>
      <c r="AW345" s="72">
        <f>AV345/AU345*100</f>
        <v>92.240502993110198</v>
      </c>
      <c r="AX345" s="49">
        <f>AU345-AV345</f>
        <v>3091500</v>
      </c>
      <c r="AY345" s="49">
        <f>AS345/AB345*100</f>
        <v>0</v>
      </c>
      <c r="AZ345" s="73">
        <f t="shared" si="88"/>
        <v>36750000</v>
      </c>
    </row>
    <row r="346" spans="1:54" ht="20.100000000000001" hidden="1" customHeight="1">
      <c r="A346" s="68"/>
      <c r="B346" s="69"/>
      <c r="C346" s="240" t="s">
        <v>521</v>
      </c>
      <c r="D346" s="240"/>
      <c r="E346" s="241"/>
      <c r="F346" s="70"/>
      <c r="G346" s="71"/>
      <c r="H346" s="71"/>
      <c r="I346" s="240" t="s">
        <v>157</v>
      </c>
      <c r="J346" s="240"/>
      <c r="K346" s="241"/>
      <c r="L346" s="49"/>
      <c r="M346" s="49"/>
      <c r="N346" s="49"/>
      <c r="O346" s="49"/>
      <c r="P346" s="49"/>
      <c r="Q346" s="49"/>
      <c r="R346" s="72"/>
      <c r="S346" s="49"/>
      <c r="T346" s="49"/>
      <c r="U346" s="49"/>
      <c r="V346" s="49"/>
      <c r="W346" s="49"/>
      <c r="X346" s="49"/>
      <c r="Y346" s="49"/>
      <c r="Z346" s="49"/>
      <c r="AA346" s="49"/>
      <c r="AB346" s="49"/>
      <c r="AC346" s="49">
        <f t="shared" si="89"/>
        <v>0</v>
      </c>
      <c r="AD346" s="49"/>
      <c r="AE346" s="49"/>
      <c r="AF346" s="49"/>
      <c r="AG346" s="49"/>
      <c r="AH346" s="49"/>
      <c r="AI346" s="49"/>
      <c r="AJ346" s="49"/>
      <c r="AK346" s="49"/>
      <c r="AL346" s="49"/>
      <c r="AM346" s="49"/>
      <c r="AN346" s="49"/>
      <c r="AO346" s="49"/>
      <c r="AP346" s="49"/>
      <c r="AQ346" s="49"/>
      <c r="AR346" s="49"/>
      <c r="AS346" s="49"/>
      <c r="AT346" s="49"/>
      <c r="AU346" s="49"/>
      <c r="AV346" s="49"/>
      <c r="AW346" s="49"/>
      <c r="AX346" s="49"/>
      <c r="AY346" s="49"/>
      <c r="AZ346" s="73">
        <f t="shared" si="88"/>
        <v>0</v>
      </c>
    </row>
    <row r="347" spans="1:54" ht="20.100000000000001" hidden="1" customHeight="1">
      <c r="A347" s="68"/>
      <c r="B347" s="69"/>
      <c r="C347" s="240" t="s">
        <v>522</v>
      </c>
      <c r="D347" s="240"/>
      <c r="E347" s="241"/>
      <c r="F347" s="70"/>
      <c r="G347" s="71"/>
      <c r="H347" s="71"/>
      <c r="I347" s="71"/>
      <c r="J347" s="240" t="s">
        <v>159</v>
      </c>
      <c r="K347" s="241"/>
      <c r="L347" s="49">
        <v>14400000</v>
      </c>
      <c r="M347" s="49">
        <v>0</v>
      </c>
      <c r="N347" s="49"/>
      <c r="O347" s="49"/>
      <c r="P347" s="49"/>
      <c r="Q347" s="49">
        <f>SUM(N347:P347)</f>
        <v>0</v>
      </c>
      <c r="R347" s="72"/>
      <c r="S347" s="49">
        <f>M347-Q347</f>
        <v>0</v>
      </c>
      <c r="T347" s="49">
        <v>14400000</v>
      </c>
      <c r="U347" s="49">
        <f>T347+M347</f>
        <v>14400000</v>
      </c>
      <c r="V347" s="49">
        <f>T347+S347</f>
        <v>14400000</v>
      </c>
      <c r="W347" s="49"/>
      <c r="X347" s="49"/>
      <c r="Y347" s="49"/>
      <c r="Z347" s="49"/>
      <c r="AA347" s="49">
        <v>0</v>
      </c>
      <c r="AB347" s="49">
        <v>14400000</v>
      </c>
      <c r="AC347" s="49">
        <f t="shared" si="89"/>
        <v>0</v>
      </c>
      <c r="AD347" s="49">
        <f>AA347+T347+M347</f>
        <v>14400000</v>
      </c>
      <c r="AE347" s="49"/>
      <c r="AF347" s="49"/>
      <c r="AG347" s="49"/>
      <c r="AH347" s="49"/>
      <c r="AI347" s="49"/>
      <c r="AJ347" s="49"/>
      <c r="AK347" s="49">
        <f>Z347+Y347+X347+W347+N347+AG347+AJ347+AI347+AH347</f>
        <v>0</v>
      </c>
      <c r="AL347" s="49">
        <f>AK347/AD347*100</f>
        <v>0</v>
      </c>
      <c r="AM347" s="48"/>
      <c r="AN347" s="49"/>
      <c r="AO347" s="49"/>
      <c r="AP347" s="49"/>
      <c r="AQ347" s="49">
        <f>AK347+AM347+AN347+AO347+AP347</f>
        <v>0</v>
      </c>
      <c r="AR347" s="49">
        <f>AQ347/AB347*100</f>
        <v>0</v>
      </c>
      <c r="AS347" s="49">
        <f>AB347-AQ347</f>
        <v>14400000</v>
      </c>
      <c r="AT347" s="49">
        <v>3091500</v>
      </c>
      <c r="AU347" s="49">
        <f>AT347+U347</f>
        <v>17491500</v>
      </c>
      <c r="AV347" s="49">
        <f>AK347</f>
        <v>0</v>
      </c>
      <c r="AW347" s="72">
        <f>AV347/AU347*100</f>
        <v>0</v>
      </c>
      <c r="AX347" s="49">
        <f>AU347-AV347</f>
        <v>17491500</v>
      </c>
      <c r="AY347" s="49">
        <f>AS347/AB347*100</f>
        <v>100</v>
      </c>
      <c r="AZ347" s="73">
        <f t="shared" si="88"/>
        <v>0</v>
      </c>
      <c r="BB347" s="29">
        <f>AS347</f>
        <v>14400000</v>
      </c>
    </row>
    <row r="348" spans="1:54" ht="20.100000000000001" hidden="1" customHeight="1">
      <c r="A348" s="68"/>
      <c r="B348" s="69"/>
      <c r="C348" s="240" t="s">
        <v>523</v>
      </c>
      <c r="D348" s="240"/>
      <c r="E348" s="241"/>
      <c r="F348" s="70"/>
      <c r="G348" s="71"/>
      <c r="H348" s="71"/>
      <c r="I348" s="71"/>
      <c r="J348" s="240" t="s">
        <v>207</v>
      </c>
      <c r="K348" s="241"/>
      <c r="L348" s="49">
        <v>0</v>
      </c>
      <c r="M348" s="49">
        <v>0</v>
      </c>
      <c r="N348" s="49"/>
      <c r="O348" s="49"/>
      <c r="P348" s="49"/>
      <c r="Q348" s="49">
        <f>SUM(N348:P348)</f>
        <v>0</v>
      </c>
      <c r="R348" s="72"/>
      <c r="S348" s="49">
        <f>M348-Q348</f>
        <v>0</v>
      </c>
      <c r="T348" s="49">
        <v>0</v>
      </c>
      <c r="U348" s="49">
        <f>T348+M348</f>
        <v>0</v>
      </c>
      <c r="V348" s="49">
        <f>T348+S348</f>
        <v>0</v>
      </c>
      <c r="W348" s="49"/>
      <c r="X348" s="49"/>
      <c r="Y348" s="49"/>
      <c r="Z348" s="49"/>
      <c r="AA348" s="49">
        <v>0</v>
      </c>
      <c r="AB348" s="49">
        <v>0</v>
      </c>
      <c r="AC348" s="49">
        <f t="shared" si="89"/>
        <v>0</v>
      </c>
      <c r="AD348" s="49"/>
      <c r="AE348" s="49"/>
      <c r="AF348" s="49"/>
      <c r="AG348" s="49"/>
      <c r="AH348" s="49"/>
      <c r="AI348" s="49"/>
      <c r="AJ348" s="49"/>
      <c r="AK348" s="49">
        <f>Z348+Y348+X348+W348+N348+AG348+AJ348+AI348+AH348</f>
        <v>0</v>
      </c>
      <c r="AL348" s="49"/>
      <c r="AM348" s="49"/>
      <c r="AN348" s="49"/>
      <c r="AO348" s="49"/>
      <c r="AP348" s="49"/>
      <c r="AQ348" s="49"/>
      <c r="AR348" s="49"/>
      <c r="AS348" s="49"/>
      <c r="AT348" s="49"/>
      <c r="AU348" s="49"/>
      <c r="AV348" s="49"/>
      <c r="AW348" s="49"/>
      <c r="AX348" s="49"/>
      <c r="AY348" s="49"/>
      <c r="AZ348" s="73">
        <f t="shared" si="88"/>
        <v>0</v>
      </c>
    </row>
    <row r="349" spans="1:54" ht="20.100000000000001" hidden="1" customHeight="1">
      <c r="A349" s="68"/>
      <c r="B349" s="69"/>
      <c r="C349" s="240" t="s">
        <v>524</v>
      </c>
      <c r="D349" s="240"/>
      <c r="E349" s="241"/>
      <c r="F349" s="70"/>
      <c r="G349" s="71"/>
      <c r="H349" s="71"/>
      <c r="I349" s="240" t="s">
        <v>402</v>
      </c>
      <c r="J349" s="240"/>
      <c r="K349" s="241"/>
      <c r="L349" s="49"/>
      <c r="M349" s="49"/>
      <c r="N349" s="49"/>
      <c r="O349" s="49"/>
      <c r="P349" s="49"/>
      <c r="Q349" s="49"/>
      <c r="R349" s="72"/>
      <c r="S349" s="49"/>
      <c r="T349" s="49"/>
      <c r="U349" s="49"/>
      <c r="V349" s="49"/>
      <c r="W349" s="49"/>
      <c r="X349" s="49"/>
      <c r="Y349" s="49"/>
      <c r="Z349" s="49"/>
      <c r="AA349" s="49"/>
      <c r="AB349" s="49"/>
      <c r="AC349" s="49">
        <f t="shared" si="89"/>
        <v>0</v>
      </c>
      <c r="AD349" s="49"/>
      <c r="AE349" s="49"/>
      <c r="AF349" s="49"/>
      <c r="AG349" s="49"/>
      <c r="AH349" s="49"/>
      <c r="AI349" s="49"/>
      <c r="AJ349" s="49"/>
      <c r="AK349" s="49"/>
      <c r="AL349" s="49"/>
      <c r="AM349" s="49"/>
      <c r="AN349" s="49"/>
      <c r="AO349" s="49"/>
      <c r="AP349" s="49"/>
      <c r="AQ349" s="49"/>
      <c r="AR349" s="49"/>
      <c r="AS349" s="49"/>
      <c r="AT349" s="49"/>
      <c r="AU349" s="49"/>
      <c r="AV349" s="49"/>
      <c r="AW349" s="49"/>
      <c r="AX349" s="49"/>
      <c r="AY349" s="49"/>
      <c r="AZ349" s="73">
        <f t="shared" si="88"/>
        <v>0</v>
      </c>
    </row>
    <row r="350" spans="1:54" ht="20.100000000000001" hidden="1" customHeight="1">
      <c r="A350" s="68"/>
      <c r="B350" s="69"/>
      <c r="C350" s="240" t="s">
        <v>525</v>
      </c>
      <c r="D350" s="240"/>
      <c r="E350" s="241"/>
      <c r="F350" s="70"/>
      <c r="G350" s="71"/>
      <c r="H350" s="71"/>
      <c r="I350" s="71"/>
      <c r="J350" s="240" t="s">
        <v>404</v>
      </c>
      <c r="K350" s="241"/>
      <c r="L350" s="49">
        <v>26250000</v>
      </c>
      <c r="M350" s="49">
        <v>0</v>
      </c>
      <c r="N350" s="49"/>
      <c r="O350" s="49"/>
      <c r="P350" s="49"/>
      <c r="Q350" s="49">
        <f>SUM(N350:P350)</f>
        <v>0</v>
      </c>
      <c r="R350" s="72"/>
      <c r="S350" s="49">
        <f>M350-Q350</f>
        <v>0</v>
      </c>
      <c r="T350" s="49">
        <v>26250000</v>
      </c>
      <c r="U350" s="49">
        <f>T350+M350</f>
        <v>26250000</v>
      </c>
      <c r="V350" s="49">
        <f>T350+S350</f>
        <v>26250000</v>
      </c>
      <c r="W350" s="49"/>
      <c r="X350" s="49"/>
      <c r="Y350" s="49"/>
      <c r="Z350" s="49">
        <v>26250000</v>
      </c>
      <c r="AA350" s="49">
        <v>0</v>
      </c>
      <c r="AB350" s="49">
        <v>26250000</v>
      </c>
      <c r="AC350" s="49">
        <f t="shared" si="89"/>
        <v>0</v>
      </c>
      <c r="AD350" s="49">
        <f>AA350+T350+M350</f>
        <v>26250000</v>
      </c>
      <c r="AE350" s="49"/>
      <c r="AF350" s="49"/>
      <c r="AG350" s="49"/>
      <c r="AH350" s="49"/>
      <c r="AI350" s="49"/>
      <c r="AJ350" s="49"/>
      <c r="AK350" s="49">
        <f>Z350+Y350+X350+W350+N350+AG350+AJ350+AI350+AH350</f>
        <v>26250000</v>
      </c>
      <c r="AL350" s="49">
        <f>AK350/AD350*100</f>
        <v>100</v>
      </c>
      <c r="AM350" s="49"/>
      <c r="AN350" s="49"/>
      <c r="AO350" s="49"/>
      <c r="AP350" s="49"/>
      <c r="AQ350" s="49">
        <f>AK350+AM350+AN350+AO350+AP350</f>
        <v>26250000</v>
      </c>
      <c r="AR350" s="49">
        <f>AQ350/AB350*100</f>
        <v>100</v>
      </c>
      <c r="AS350" s="49">
        <f>AB350-AQ350</f>
        <v>0</v>
      </c>
      <c r="AT350" s="49">
        <v>3091500</v>
      </c>
      <c r="AU350" s="49">
        <f>AT350+U350</f>
        <v>29341500</v>
      </c>
      <c r="AV350" s="49">
        <f>AK350</f>
        <v>26250000</v>
      </c>
      <c r="AW350" s="72">
        <f>AV350/AU350*100</f>
        <v>89.463728848218395</v>
      </c>
      <c r="AX350" s="49">
        <f>AU350-AV350</f>
        <v>3091500</v>
      </c>
      <c r="AY350" s="49">
        <f>AS350/AB350*100</f>
        <v>0</v>
      </c>
      <c r="AZ350" s="73">
        <f t="shared" si="88"/>
        <v>26250000</v>
      </c>
    </row>
    <row r="351" spans="1:54" ht="20.100000000000001" customHeight="1">
      <c r="A351" s="62">
        <v>24</v>
      </c>
      <c r="B351" s="63"/>
      <c r="C351" s="242" t="s">
        <v>526</v>
      </c>
      <c r="D351" s="242"/>
      <c r="E351" s="243"/>
      <c r="F351" s="64"/>
      <c r="G351" s="244" t="s">
        <v>527</v>
      </c>
      <c r="H351" s="244"/>
      <c r="I351" s="244"/>
      <c r="J351" s="244"/>
      <c r="K351" s="245"/>
      <c r="L351" s="65">
        <f>SUM(L354:L373)</f>
        <v>322575000</v>
      </c>
      <c r="M351" s="65">
        <f>SUM(M354:M373)</f>
        <v>322575000</v>
      </c>
      <c r="N351" s="65">
        <f>SUM(N354:N373)</f>
        <v>0</v>
      </c>
      <c r="O351" s="65">
        <f>SUM(O354:O373)</f>
        <v>0</v>
      </c>
      <c r="P351" s="65">
        <f>SUM(P354:P373)</f>
        <v>0</v>
      </c>
      <c r="Q351" s="65">
        <f>SUM(N351:P351)</f>
        <v>0</v>
      </c>
      <c r="R351" s="66">
        <f>Q351/M351*100</f>
        <v>0</v>
      </c>
      <c r="S351" s="65">
        <f>M351-Q351</f>
        <v>322575000</v>
      </c>
      <c r="T351" s="65">
        <f>SUM(T354:T373)</f>
        <v>0</v>
      </c>
      <c r="U351" s="65">
        <f>T351+M351</f>
        <v>322575000</v>
      </c>
      <c r="V351" s="65">
        <f>T351+S351</f>
        <v>322575000</v>
      </c>
      <c r="W351" s="65">
        <f t="shared" ref="W351:AB351" si="93">SUM(W354:W373)</f>
        <v>0</v>
      </c>
      <c r="X351" s="65">
        <f t="shared" si="93"/>
        <v>0</v>
      </c>
      <c r="Y351" s="65">
        <f t="shared" si="93"/>
        <v>0</v>
      </c>
      <c r="Z351" s="65">
        <f t="shared" si="93"/>
        <v>317765975</v>
      </c>
      <c r="AA351" s="65">
        <f t="shared" si="93"/>
        <v>0</v>
      </c>
      <c r="AB351" s="65">
        <f t="shared" si="93"/>
        <v>322575000</v>
      </c>
      <c r="AC351" s="65">
        <f t="shared" si="89"/>
        <v>0</v>
      </c>
      <c r="AD351" s="65">
        <f>AA351+T351+M351</f>
        <v>322575000</v>
      </c>
      <c r="AE351" s="65">
        <f t="shared" ref="AE351:AK351" si="94">SUM(AE354:AE373)</f>
        <v>0</v>
      </c>
      <c r="AF351" s="65">
        <f t="shared" si="94"/>
        <v>0</v>
      </c>
      <c r="AG351" s="65">
        <f t="shared" si="94"/>
        <v>0</v>
      </c>
      <c r="AH351" s="65">
        <f t="shared" si="94"/>
        <v>0</v>
      </c>
      <c r="AI351" s="65">
        <f t="shared" si="94"/>
        <v>0</v>
      </c>
      <c r="AJ351" s="65">
        <f t="shared" si="94"/>
        <v>0</v>
      </c>
      <c r="AK351" s="65">
        <f t="shared" si="94"/>
        <v>317765975</v>
      </c>
      <c r="AL351" s="65">
        <f>AK351/AB351*100</f>
        <v>98.509176160582811</v>
      </c>
      <c r="AM351" s="65">
        <f>SUM(AM354:AM373)</f>
        <v>0</v>
      </c>
      <c r="AN351" s="65">
        <f>SUM(AN354:AN373)</f>
        <v>0</v>
      </c>
      <c r="AO351" s="65">
        <f>SUM(AO354:AO373)</f>
        <v>0</v>
      </c>
      <c r="AP351" s="65">
        <f>SUM(AP354:AP373)</f>
        <v>0</v>
      </c>
      <c r="AQ351" s="65">
        <f>AK351+AM351+AN351+AO351+AP351</f>
        <v>317765975</v>
      </c>
      <c r="AR351" s="65">
        <f>AQ351/AB351*100</f>
        <v>98.509176160582811</v>
      </c>
      <c r="AS351" s="65">
        <f>AB351-AQ351</f>
        <v>4809025</v>
      </c>
      <c r="AT351" s="65">
        <f>SUM(AT354:AT360)</f>
        <v>12366000</v>
      </c>
      <c r="AU351" s="65">
        <f>AT351+U351</f>
        <v>334941000</v>
      </c>
      <c r="AV351" s="65">
        <f>AK351</f>
        <v>317765975</v>
      </c>
      <c r="AW351" s="66">
        <f>AV351/AU351*100</f>
        <v>94.872223764782461</v>
      </c>
      <c r="AX351" s="65">
        <f>AU351-AV351</f>
        <v>17175025</v>
      </c>
      <c r="AY351" s="65">
        <f>AS351/AB351*100</f>
        <v>1.4908238394171898</v>
      </c>
      <c r="AZ351" s="67">
        <f t="shared" si="88"/>
        <v>317765975</v>
      </c>
      <c r="BA351" s="29">
        <f>AS351</f>
        <v>4809025</v>
      </c>
    </row>
    <row r="352" spans="1:54" ht="20.100000000000001" hidden="1" customHeight="1">
      <c r="A352" s="68"/>
      <c r="B352" s="69"/>
      <c r="C352" s="240" t="s">
        <v>528</v>
      </c>
      <c r="D352" s="240"/>
      <c r="E352" s="241"/>
      <c r="F352" s="70"/>
      <c r="G352" s="71"/>
      <c r="H352" s="240" t="s">
        <v>10</v>
      </c>
      <c r="I352" s="240"/>
      <c r="J352" s="240"/>
      <c r="K352" s="241"/>
      <c r="L352" s="49"/>
      <c r="M352" s="49"/>
      <c r="N352" s="49"/>
      <c r="O352" s="49"/>
      <c r="P352" s="49"/>
      <c r="Q352" s="49"/>
      <c r="R352" s="72"/>
      <c r="S352" s="49"/>
      <c r="T352" s="49"/>
      <c r="U352" s="49"/>
      <c r="V352" s="49"/>
      <c r="W352" s="49"/>
      <c r="X352" s="49"/>
      <c r="Y352" s="49"/>
      <c r="Z352" s="49"/>
      <c r="AA352" s="49"/>
      <c r="AB352" s="49"/>
      <c r="AC352" s="49">
        <f t="shared" si="89"/>
        <v>0</v>
      </c>
      <c r="AD352" s="49"/>
      <c r="AE352" s="49"/>
      <c r="AF352" s="49"/>
      <c r="AG352" s="49"/>
      <c r="AH352" s="49"/>
      <c r="AI352" s="49"/>
      <c r="AJ352" s="49"/>
      <c r="AK352" s="49"/>
      <c r="AL352" s="49"/>
      <c r="AM352" s="49"/>
      <c r="AN352" s="49"/>
      <c r="AO352" s="49"/>
      <c r="AP352" s="49"/>
      <c r="AQ352" s="49"/>
      <c r="AR352" s="49"/>
      <c r="AS352" s="49"/>
      <c r="AT352" s="49"/>
      <c r="AU352" s="49"/>
      <c r="AV352" s="49"/>
      <c r="AW352" s="49"/>
      <c r="AX352" s="49"/>
      <c r="AY352" s="49"/>
      <c r="AZ352" s="73">
        <f t="shared" si="88"/>
        <v>0</v>
      </c>
    </row>
    <row r="353" spans="1:52" ht="20.100000000000001" hidden="1" customHeight="1">
      <c r="A353" s="68"/>
      <c r="B353" s="69"/>
      <c r="C353" s="240" t="s">
        <v>529</v>
      </c>
      <c r="D353" s="240"/>
      <c r="E353" s="241"/>
      <c r="F353" s="70"/>
      <c r="G353" s="71"/>
      <c r="H353" s="71"/>
      <c r="I353" s="240" t="s">
        <v>177</v>
      </c>
      <c r="J353" s="240"/>
      <c r="K353" s="241"/>
      <c r="L353" s="49"/>
      <c r="M353" s="49"/>
      <c r="N353" s="49"/>
      <c r="O353" s="49"/>
      <c r="P353" s="49"/>
      <c r="Q353" s="49"/>
      <c r="R353" s="72"/>
      <c r="S353" s="49"/>
      <c r="T353" s="49"/>
      <c r="U353" s="49"/>
      <c r="V353" s="49"/>
      <c r="W353" s="49"/>
      <c r="X353" s="49"/>
      <c r="Y353" s="49"/>
      <c r="Z353" s="49"/>
      <c r="AA353" s="49"/>
      <c r="AB353" s="49"/>
      <c r="AC353" s="49">
        <f t="shared" si="89"/>
        <v>0</v>
      </c>
      <c r="AD353" s="49"/>
      <c r="AE353" s="49"/>
      <c r="AF353" s="49"/>
      <c r="AG353" s="49"/>
      <c r="AH353" s="49"/>
      <c r="AI353" s="49"/>
      <c r="AJ353" s="49"/>
      <c r="AK353" s="49"/>
      <c r="AL353" s="49"/>
      <c r="AM353" s="49"/>
      <c r="AN353" s="49"/>
      <c r="AO353" s="49"/>
      <c r="AP353" s="49"/>
      <c r="AQ353" s="49"/>
      <c r="AR353" s="49"/>
      <c r="AS353" s="49"/>
      <c r="AT353" s="49"/>
      <c r="AU353" s="49"/>
      <c r="AV353" s="49"/>
      <c r="AW353" s="49"/>
      <c r="AX353" s="49"/>
      <c r="AY353" s="49"/>
      <c r="AZ353" s="73">
        <f t="shared" si="88"/>
        <v>0</v>
      </c>
    </row>
    <row r="354" spans="1:52" ht="20.100000000000001" hidden="1" customHeight="1">
      <c r="A354" s="68"/>
      <c r="B354" s="69"/>
      <c r="C354" s="240" t="s">
        <v>530</v>
      </c>
      <c r="D354" s="240"/>
      <c r="E354" s="241"/>
      <c r="F354" s="70"/>
      <c r="G354" s="71"/>
      <c r="H354" s="71"/>
      <c r="I354" s="71"/>
      <c r="J354" s="240" t="s">
        <v>283</v>
      </c>
      <c r="K354" s="241"/>
      <c r="L354" s="49">
        <v>8200000</v>
      </c>
      <c r="M354" s="49">
        <f>L354</f>
        <v>8200000</v>
      </c>
      <c r="N354" s="49"/>
      <c r="O354" s="49"/>
      <c r="P354" s="49"/>
      <c r="Q354" s="49">
        <f>SUM(N354:P354)</f>
        <v>0</v>
      </c>
      <c r="R354" s="72">
        <f>Q354/M354*100</f>
        <v>0</v>
      </c>
      <c r="S354" s="49">
        <f>M354-Q354</f>
        <v>8200000</v>
      </c>
      <c r="T354" s="49">
        <v>0</v>
      </c>
      <c r="U354" s="49">
        <f>T354+M354</f>
        <v>8200000</v>
      </c>
      <c r="V354" s="49">
        <f>T354+S354</f>
        <v>8200000</v>
      </c>
      <c r="W354" s="49"/>
      <c r="X354" s="49"/>
      <c r="Y354" s="49"/>
      <c r="Z354" s="49">
        <v>8200000</v>
      </c>
      <c r="AA354" s="49">
        <v>0</v>
      </c>
      <c r="AB354" s="49">
        <v>8200000</v>
      </c>
      <c r="AC354" s="49">
        <f t="shared" si="89"/>
        <v>0</v>
      </c>
      <c r="AD354" s="49">
        <f t="shared" ref="AD354:AD360" si="95">AA354+T354+M354</f>
        <v>8200000</v>
      </c>
      <c r="AE354" s="49"/>
      <c r="AF354" s="49"/>
      <c r="AG354" s="49"/>
      <c r="AH354" s="49"/>
      <c r="AI354" s="49"/>
      <c r="AJ354" s="49"/>
      <c r="AK354" s="49">
        <f>Z354+Y354+X354+W354+N354+AG354+AJ354+AI354+AH354</f>
        <v>8200000</v>
      </c>
      <c r="AL354" s="49">
        <f>AK354/AD354*100</f>
        <v>100</v>
      </c>
      <c r="AM354" s="49"/>
      <c r="AN354" s="49"/>
      <c r="AO354" s="49"/>
      <c r="AP354" s="49"/>
      <c r="AQ354" s="49">
        <f>AK354+AM354+AN354+AO354+AP354</f>
        <v>8200000</v>
      </c>
      <c r="AR354" s="49">
        <f>AQ354/AB354*100</f>
        <v>100</v>
      </c>
      <c r="AS354" s="49">
        <f>AB354-AQ354</f>
        <v>0</v>
      </c>
      <c r="AT354" s="49">
        <v>3091500</v>
      </c>
      <c r="AU354" s="49">
        <f>AT354+U354</f>
        <v>11291500</v>
      </c>
      <c r="AV354" s="49">
        <f>AK354</f>
        <v>8200000</v>
      </c>
      <c r="AW354" s="72">
        <f>AV354/AU354*100</f>
        <v>72.620998095912853</v>
      </c>
      <c r="AX354" s="49">
        <f>AU354-AV354</f>
        <v>3091500</v>
      </c>
      <c r="AY354" s="49">
        <f t="shared" ref="AY354:AY415" si="96">AS354/AB354*100</f>
        <v>0</v>
      </c>
      <c r="AZ354" s="73">
        <f t="shared" si="88"/>
        <v>8200000</v>
      </c>
    </row>
    <row r="355" spans="1:52" ht="20.100000000000001" hidden="1" customHeight="1">
      <c r="A355" s="68"/>
      <c r="B355" s="69"/>
      <c r="C355" s="240" t="s">
        <v>531</v>
      </c>
      <c r="D355" s="240"/>
      <c r="E355" s="241"/>
      <c r="F355" s="70"/>
      <c r="G355" s="71"/>
      <c r="H355" s="71"/>
      <c r="I355" s="71"/>
      <c r="J355" s="240" t="s">
        <v>384</v>
      </c>
      <c r="K355" s="241"/>
      <c r="L355" s="49">
        <v>2245000</v>
      </c>
      <c r="M355" s="49">
        <f t="shared" ref="M355:M373" si="97">L355</f>
        <v>2245000</v>
      </c>
      <c r="N355" s="49"/>
      <c r="O355" s="49"/>
      <c r="P355" s="49"/>
      <c r="Q355" s="49">
        <f>SUM(N355:P355)</f>
        <v>0</v>
      </c>
      <c r="R355" s="72">
        <f>Q355/M355*100</f>
        <v>0</v>
      </c>
      <c r="S355" s="49">
        <f>M355-Q355</f>
        <v>2245000</v>
      </c>
      <c r="T355" s="49">
        <v>0</v>
      </c>
      <c r="U355" s="49">
        <f>T355+M355</f>
        <v>2245000</v>
      </c>
      <c r="V355" s="49">
        <f>T355+S355</f>
        <v>2245000</v>
      </c>
      <c r="W355" s="49"/>
      <c r="X355" s="49"/>
      <c r="Y355" s="49"/>
      <c r="Z355" s="49">
        <v>670000</v>
      </c>
      <c r="AA355" s="49">
        <v>0</v>
      </c>
      <c r="AB355" s="49">
        <v>2245000</v>
      </c>
      <c r="AC355" s="49">
        <f t="shared" si="89"/>
        <v>0</v>
      </c>
      <c r="AD355" s="49">
        <f t="shared" si="95"/>
        <v>2245000</v>
      </c>
      <c r="AE355" s="49"/>
      <c r="AF355" s="49"/>
      <c r="AG355" s="49"/>
      <c r="AH355" s="49"/>
      <c r="AI355" s="49"/>
      <c r="AJ355" s="49"/>
      <c r="AK355" s="49">
        <f>Z355+Y355+X355+W355+N355+AG355+AJ355+AI355+AH355</f>
        <v>670000</v>
      </c>
      <c r="AL355" s="49">
        <f>AK355/AD355*100</f>
        <v>29.84409799554566</v>
      </c>
      <c r="AM355" s="49"/>
      <c r="AN355" s="49"/>
      <c r="AO355" s="49"/>
      <c r="AP355" s="49"/>
      <c r="AQ355" s="49">
        <f>AK355+AM355+AN355+AO355+AP355</f>
        <v>670000</v>
      </c>
      <c r="AR355" s="49">
        <f>AQ355/AB355*100</f>
        <v>29.84409799554566</v>
      </c>
      <c r="AS355" s="49">
        <f>AB355-AQ355</f>
        <v>1575000</v>
      </c>
      <c r="AT355" s="49">
        <v>3091500</v>
      </c>
      <c r="AU355" s="49">
        <f>AT355+U355</f>
        <v>5336500</v>
      </c>
      <c r="AV355" s="49">
        <f>AK355</f>
        <v>670000</v>
      </c>
      <c r="AW355" s="72">
        <f>AV355/AU355*100</f>
        <v>12.55504544176895</v>
      </c>
      <c r="AX355" s="49">
        <f>AU355-AV355</f>
        <v>4666500</v>
      </c>
      <c r="AY355" s="49">
        <f t="shared" si="96"/>
        <v>70.155902004454333</v>
      </c>
      <c r="AZ355" s="73">
        <f t="shared" si="88"/>
        <v>670000</v>
      </c>
    </row>
    <row r="356" spans="1:52" ht="20.100000000000001" hidden="1" customHeight="1">
      <c r="A356" s="68"/>
      <c r="B356" s="69"/>
      <c r="C356" s="240" t="s">
        <v>532</v>
      </c>
      <c r="D356" s="240"/>
      <c r="E356" s="241"/>
      <c r="F356" s="70"/>
      <c r="G356" s="71"/>
      <c r="H356" s="240" t="s">
        <v>143</v>
      </c>
      <c r="I356" s="240"/>
      <c r="J356" s="240"/>
      <c r="K356" s="241"/>
      <c r="L356" s="49"/>
      <c r="M356" s="49">
        <f t="shared" si="97"/>
        <v>0</v>
      </c>
      <c r="N356" s="49"/>
      <c r="O356" s="49"/>
      <c r="P356" s="49"/>
      <c r="Q356" s="49"/>
      <c r="R356" s="72"/>
      <c r="S356" s="49"/>
      <c r="T356" s="49"/>
      <c r="U356" s="49"/>
      <c r="V356" s="49"/>
      <c r="W356" s="49"/>
      <c r="X356" s="49"/>
      <c r="Y356" s="49"/>
      <c r="Z356" s="49"/>
      <c r="AA356" s="49"/>
      <c r="AB356" s="49"/>
      <c r="AC356" s="49">
        <f t="shared" si="89"/>
        <v>0</v>
      </c>
      <c r="AD356" s="49"/>
      <c r="AE356" s="49"/>
      <c r="AF356" s="49"/>
      <c r="AG356" s="49"/>
      <c r="AH356" s="49"/>
      <c r="AI356" s="49"/>
      <c r="AJ356" s="49"/>
      <c r="AK356" s="49"/>
      <c r="AL356" s="49"/>
      <c r="AM356" s="49"/>
      <c r="AN356" s="49"/>
      <c r="AO356" s="49"/>
      <c r="AP356" s="49"/>
      <c r="AQ356" s="49"/>
      <c r="AR356" s="49"/>
      <c r="AS356" s="49"/>
      <c r="AT356" s="49"/>
      <c r="AU356" s="49"/>
      <c r="AV356" s="49"/>
      <c r="AW356" s="49"/>
      <c r="AX356" s="49"/>
      <c r="AY356" s="49"/>
      <c r="AZ356" s="73">
        <f t="shared" ref="AZ356:AZ419" si="98">AQ356-AO356</f>
        <v>0</v>
      </c>
    </row>
    <row r="357" spans="1:52" ht="20.100000000000001" hidden="1" customHeight="1">
      <c r="A357" s="68"/>
      <c r="B357" s="69"/>
      <c r="C357" s="240" t="s">
        <v>533</v>
      </c>
      <c r="D357" s="240"/>
      <c r="E357" s="241"/>
      <c r="F357" s="70"/>
      <c r="G357" s="71"/>
      <c r="H357" s="71"/>
      <c r="I357" s="240" t="s">
        <v>145</v>
      </c>
      <c r="J357" s="240"/>
      <c r="K357" s="241"/>
      <c r="L357" s="49"/>
      <c r="M357" s="49">
        <f t="shared" si="97"/>
        <v>0</v>
      </c>
      <c r="N357" s="49"/>
      <c r="O357" s="49"/>
      <c r="P357" s="49"/>
      <c r="Q357" s="49"/>
      <c r="R357" s="72"/>
      <c r="S357" s="49"/>
      <c r="T357" s="49">
        <v>0</v>
      </c>
      <c r="U357" s="49">
        <f>T357+M357</f>
        <v>0</v>
      </c>
      <c r="V357" s="49">
        <f>T357+S357</f>
        <v>0</v>
      </c>
      <c r="W357" s="49"/>
      <c r="X357" s="49"/>
      <c r="Y357" s="49"/>
      <c r="Z357" s="49"/>
      <c r="AA357" s="49">
        <v>0</v>
      </c>
      <c r="AB357" s="49"/>
      <c r="AC357" s="49">
        <f t="shared" si="89"/>
        <v>0</v>
      </c>
      <c r="AD357" s="49"/>
      <c r="AE357" s="49"/>
      <c r="AF357" s="49"/>
      <c r="AG357" s="49"/>
      <c r="AH357" s="49"/>
      <c r="AI357" s="49"/>
      <c r="AJ357" s="49"/>
      <c r="AK357" s="49"/>
      <c r="AL357" s="49"/>
      <c r="AM357" s="49"/>
      <c r="AN357" s="49"/>
      <c r="AO357" s="49"/>
      <c r="AP357" s="49"/>
      <c r="AQ357" s="49"/>
      <c r="AR357" s="49"/>
      <c r="AS357" s="49"/>
      <c r="AT357" s="49"/>
      <c r="AU357" s="49"/>
      <c r="AV357" s="49"/>
      <c r="AW357" s="49"/>
      <c r="AX357" s="49"/>
      <c r="AY357" s="49"/>
      <c r="AZ357" s="73">
        <f t="shared" si="98"/>
        <v>0</v>
      </c>
    </row>
    <row r="358" spans="1:52" ht="20.100000000000001" hidden="1" customHeight="1">
      <c r="A358" s="68"/>
      <c r="B358" s="69"/>
      <c r="C358" s="240" t="s">
        <v>534</v>
      </c>
      <c r="D358" s="240"/>
      <c r="E358" s="241"/>
      <c r="F358" s="70"/>
      <c r="G358" s="71"/>
      <c r="H358" s="71"/>
      <c r="I358" s="71"/>
      <c r="J358" s="240" t="s">
        <v>147</v>
      </c>
      <c r="K358" s="241"/>
      <c r="L358" s="49">
        <v>5453000</v>
      </c>
      <c r="M358" s="49">
        <f t="shared" si="97"/>
        <v>5453000</v>
      </c>
      <c r="N358" s="49"/>
      <c r="O358" s="49"/>
      <c r="P358" s="49"/>
      <c r="Q358" s="49">
        <f>SUM(N358:P358)</f>
        <v>0</v>
      </c>
      <c r="R358" s="72">
        <f>Q358/M358*100</f>
        <v>0</v>
      </c>
      <c r="S358" s="49">
        <f>M358-Q358</f>
        <v>5453000</v>
      </c>
      <c r="T358" s="49">
        <v>0</v>
      </c>
      <c r="U358" s="49">
        <f>T358+M358</f>
        <v>5453000</v>
      </c>
      <c r="V358" s="49">
        <f>T358+S358</f>
        <v>5453000</v>
      </c>
      <c r="W358" s="49"/>
      <c r="X358" s="49"/>
      <c r="Y358" s="49"/>
      <c r="Z358" s="76">
        <v>5453000</v>
      </c>
      <c r="AA358" s="49">
        <v>0</v>
      </c>
      <c r="AB358" s="49">
        <v>5453000</v>
      </c>
      <c r="AC358" s="49">
        <f t="shared" si="89"/>
        <v>0</v>
      </c>
      <c r="AD358" s="49">
        <f t="shared" si="95"/>
        <v>5453000</v>
      </c>
      <c r="AE358" s="49"/>
      <c r="AF358" s="49"/>
      <c r="AG358" s="49"/>
      <c r="AH358" s="49"/>
      <c r="AI358" s="49"/>
      <c r="AJ358" s="49"/>
      <c r="AK358" s="49">
        <f>Z358+Y358+X358+W358+N358+AG358+AJ358+AI358+AH358</f>
        <v>5453000</v>
      </c>
      <c r="AL358" s="49">
        <f>AK358/AD358*100</f>
        <v>100</v>
      </c>
      <c r="AM358" s="49"/>
      <c r="AN358" s="49"/>
      <c r="AO358" s="49"/>
      <c r="AP358" s="49"/>
      <c r="AQ358" s="49">
        <f>AK358+AM358+AN358+AO358+AP358</f>
        <v>5453000</v>
      </c>
      <c r="AR358" s="49">
        <f>AQ358/AB358*100</f>
        <v>100</v>
      </c>
      <c r="AS358" s="49">
        <f t="shared" ref="AS358:AS415" si="99">AB358-AQ358</f>
        <v>0</v>
      </c>
      <c r="AT358" s="49">
        <v>3091500</v>
      </c>
      <c r="AU358" s="49">
        <f>AT358+U358</f>
        <v>8544500</v>
      </c>
      <c r="AV358" s="49">
        <f>AK358</f>
        <v>5453000</v>
      </c>
      <c r="AW358" s="72">
        <f>AV358/AU358*100</f>
        <v>63.81883082684768</v>
      </c>
      <c r="AX358" s="49">
        <f>AU358-AV358</f>
        <v>3091500</v>
      </c>
      <c r="AY358" s="49">
        <f t="shared" si="96"/>
        <v>0</v>
      </c>
      <c r="AZ358" s="73">
        <f t="shared" si="98"/>
        <v>5453000</v>
      </c>
    </row>
    <row r="359" spans="1:52" ht="20.100000000000001" hidden="1" customHeight="1">
      <c r="A359" s="68"/>
      <c r="B359" s="69"/>
      <c r="C359" s="240" t="s">
        <v>535</v>
      </c>
      <c r="D359" s="240"/>
      <c r="E359" s="241"/>
      <c r="F359" s="70"/>
      <c r="G359" s="71"/>
      <c r="H359" s="71"/>
      <c r="I359" s="240" t="s">
        <v>389</v>
      </c>
      <c r="J359" s="240"/>
      <c r="K359" s="241"/>
      <c r="L359" s="49"/>
      <c r="M359" s="49">
        <f t="shared" si="97"/>
        <v>0</v>
      </c>
      <c r="N359" s="49"/>
      <c r="O359" s="49"/>
      <c r="P359" s="49"/>
      <c r="Q359" s="49"/>
      <c r="R359" s="72"/>
      <c r="S359" s="49"/>
      <c r="T359" s="49">
        <v>0</v>
      </c>
      <c r="U359" s="49">
        <f>T359+M359</f>
        <v>0</v>
      </c>
      <c r="V359" s="49">
        <f>T359+S359</f>
        <v>0</v>
      </c>
      <c r="W359" s="49"/>
      <c r="X359" s="49"/>
      <c r="Y359" s="49"/>
      <c r="Z359" s="49"/>
      <c r="AA359" s="49">
        <v>0</v>
      </c>
      <c r="AB359" s="49"/>
      <c r="AC359" s="49">
        <f t="shared" si="89"/>
        <v>0</v>
      </c>
      <c r="AD359" s="49"/>
      <c r="AE359" s="49"/>
      <c r="AF359" s="49"/>
      <c r="AG359" s="49"/>
      <c r="AH359" s="49"/>
      <c r="AI359" s="49"/>
      <c r="AJ359" s="49"/>
      <c r="AK359" s="49"/>
      <c r="AL359" s="49"/>
      <c r="AM359" s="49"/>
      <c r="AN359" s="49"/>
      <c r="AO359" s="49"/>
      <c r="AP359" s="49"/>
      <c r="AQ359" s="49"/>
      <c r="AR359" s="49"/>
      <c r="AS359" s="49"/>
      <c r="AT359" s="49"/>
      <c r="AU359" s="49"/>
      <c r="AV359" s="49"/>
      <c r="AW359" s="49"/>
      <c r="AX359" s="49"/>
      <c r="AY359" s="49"/>
      <c r="AZ359" s="73">
        <f t="shared" si="98"/>
        <v>0</v>
      </c>
    </row>
    <row r="360" spans="1:52" ht="20.100000000000001" hidden="1" customHeight="1">
      <c r="A360" s="68"/>
      <c r="B360" s="69"/>
      <c r="C360" s="240" t="s">
        <v>536</v>
      </c>
      <c r="D360" s="240"/>
      <c r="E360" s="241"/>
      <c r="F360" s="70"/>
      <c r="G360" s="71"/>
      <c r="H360" s="71"/>
      <c r="I360" s="71"/>
      <c r="J360" s="240" t="s">
        <v>391</v>
      </c>
      <c r="K360" s="241"/>
      <c r="L360" s="49">
        <v>71052000</v>
      </c>
      <c r="M360" s="49">
        <f t="shared" si="97"/>
        <v>71052000</v>
      </c>
      <c r="N360" s="49"/>
      <c r="O360" s="49"/>
      <c r="P360" s="49"/>
      <c r="Q360" s="49">
        <f>SUM(N360:P360)</f>
        <v>0</v>
      </c>
      <c r="R360" s="72">
        <f>Q360/M360*100</f>
        <v>0</v>
      </c>
      <c r="S360" s="49">
        <f>M360-Q360</f>
        <v>71052000</v>
      </c>
      <c r="T360" s="49">
        <v>0</v>
      </c>
      <c r="U360" s="49">
        <f>T360+M360</f>
        <v>71052000</v>
      </c>
      <c r="V360" s="49">
        <f>T360+S360</f>
        <v>71052000</v>
      </c>
      <c r="W360" s="49"/>
      <c r="X360" s="49"/>
      <c r="Y360" s="49"/>
      <c r="Z360" s="49">
        <v>70661000</v>
      </c>
      <c r="AA360" s="49">
        <v>0</v>
      </c>
      <c r="AB360" s="49">
        <v>71052000</v>
      </c>
      <c r="AC360" s="49">
        <f t="shared" si="89"/>
        <v>0</v>
      </c>
      <c r="AD360" s="49">
        <f t="shared" si="95"/>
        <v>71052000</v>
      </c>
      <c r="AE360" s="49"/>
      <c r="AF360" s="49"/>
      <c r="AG360" s="49"/>
      <c r="AH360" s="49"/>
      <c r="AI360" s="49"/>
      <c r="AJ360" s="49"/>
      <c r="AK360" s="49">
        <f>Z360+Y360+X360+W360+N360+AG360+AJ360+AI360+AH360</f>
        <v>70661000</v>
      </c>
      <c r="AL360" s="49">
        <f>AK360/AD360*100</f>
        <v>99.449698812137584</v>
      </c>
      <c r="AM360" s="49"/>
      <c r="AN360" s="49"/>
      <c r="AO360" s="49"/>
      <c r="AP360" s="49"/>
      <c r="AQ360" s="49">
        <f>AK360+AM360+AN360+AO360+AP360</f>
        <v>70661000</v>
      </c>
      <c r="AR360" s="49">
        <f>AQ360/AB360*100</f>
        <v>99.449698812137584</v>
      </c>
      <c r="AS360" s="49">
        <f t="shared" si="99"/>
        <v>391000</v>
      </c>
      <c r="AT360" s="49">
        <v>3091500</v>
      </c>
      <c r="AU360" s="49">
        <f>AT360+U360</f>
        <v>74143500</v>
      </c>
      <c r="AV360" s="49">
        <f>AK360</f>
        <v>70661000</v>
      </c>
      <c r="AW360" s="72">
        <f>AV360/AU360*100</f>
        <v>95.303027237721452</v>
      </c>
      <c r="AX360" s="49">
        <f>AU360-AV360</f>
        <v>3482500</v>
      </c>
      <c r="AY360" s="49">
        <f t="shared" si="96"/>
        <v>0.55030118786241067</v>
      </c>
      <c r="AZ360" s="73">
        <f t="shared" si="98"/>
        <v>70661000</v>
      </c>
    </row>
    <row r="361" spans="1:52" ht="20.100000000000001" hidden="1" customHeight="1">
      <c r="A361" s="68"/>
      <c r="B361" s="69"/>
      <c r="C361" s="240" t="s">
        <v>537</v>
      </c>
      <c r="D361" s="240"/>
      <c r="E361" s="241"/>
      <c r="F361" s="70"/>
      <c r="G361" s="71"/>
      <c r="H361" s="71"/>
      <c r="I361" s="240" t="s">
        <v>163</v>
      </c>
      <c r="J361" s="240"/>
      <c r="K361" s="241"/>
      <c r="L361" s="49"/>
      <c r="M361" s="49"/>
      <c r="N361" s="49"/>
      <c r="O361" s="49"/>
      <c r="P361" s="49"/>
      <c r="Q361" s="49"/>
      <c r="R361" s="72"/>
      <c r="S361" s="49"/>
      <c r="T361" s="49"/>
      <c r="U361" s="49"/>
      <c r="V361" s="49"/>
      <c r="W361" s="49"/>
      <c r="X361" s="49"/>
      <c r="Y361" s="49"/>
      <c r="Z361" s="49"/>
      <c r="AA361" s="49"/>
      <c r="AB361" s="49"/>
      <c r="AC361" s="49">
        <f t="shared" si="89"/>
        <v>0</v>
      </c>
      <c r="AD361" s="49"/>
      <c r="AE361" s="49"/>
      <c r="AF361" s="49"/>
      <c r="AG361" s="49"/>
      <c r="AH361" s="49"/>
      <c r="AI361" s="49"/>
      <c r="AJ361" s="49"/>
      <c r="AK361" s="49"/>
      <c r="AL361" s="49"/>
      <c r="AM361" s="49"/>
      <c r="AN361" s="49"/>
      <c r="AO361" s="49"/>
      <c r="AP361" s="49"/>
      <c r="AQ361" s="49"/>
      <c r="AR361" s="49"/>
      <c r="AS361" s="49"/>
      <c r="AT361" s="49"/>
      <c r="AU361" s="49"/>
      <c r="AV361" s="49"/>
      <c r="AW361" s="49"/>
      <c r="AX361" s="49"/>
      <c r="AY361" s="49"/>
      <c r="AZ361" s="73">
        <f t="shared" si="98"/>
        <v>0</v>
      </c>
    </row>
    <row r="362" spans="1:52" ht="20.100000000000001" hidden="1" customHeight="1">
      <c r="A362" s="68"/>
      <c r="B362" s="69"/>
      <c r="C362" s="240" t="s">
        <v>538</v>
      </c>
      <c r="D362" s="240"/>
      <c r="E362" s="241"/>
      <c r="F362" s="70"/>
      <c r="G362" s="71"/>
      <c r="H362" s="71"/>
      <c r="I362" s="71"/>
      <c r="J362" s="240" t="s">
        <v>349</v>
      </c>
      <c r="K362" s="241"/>
      <c r="L362" s="49">
        <v>682500</v>
      </c>
      <c r="M362" s="49">
        <f t="shared" si="97"/>
        <v>682500</v>
      </c>
      <c r="N362" s="49"/>
      <c r="O362" s="49"/>
      <c r="P362" s="49"/>
      <c r="Q362" s="49">
        <f>SUM(N362:P362)</f>
        <v>0</v>
      </c>
      <c r="R362" s="72">
        <f>Q362/M362*100</f>
        <v>0</v>
      </c>
      <c r="S362" s="49">
        <f>M362-Q362</f>
        <v>682500</v>
      </c>
      <c r="T362" s="49">
        <v>0</v>
      </c>
      <c r="U362" s="49">
        <f t="shared" ref="U362:U368" si="100">T362+M362</f>
        <v>682500</v>
      </c>
      <c r="V362" s="49">
        <f t="shared" ref="V362:V368" si="101">T362+S362</f>
        <v>682500</v>
      </c>
      <c r="W362" s="49"/>
      <c r="X362" s="49"/>
      <c r="Y362" s="49"/>
      <c r="Z362" s="49">
        <v>682500</v>
      </c>
      <c r="AA362" s="49">
        <v>0</v>
      </c>
      <c r="AB362" s="49">
        <v>682500</v>
      </c>
      <c r="AC362" s="49">
        <f t="shared" si="89"/>
        <v>0</v>
      </c>
      <c r="AD362" s="49">
        <f t="shared" ref="AD362:AD368" si="102">AA362+T362+M362</f>
        <v>682500</v>
      </c>
      <c r="AE362" s="49"/>
      <c r="AF362" s="49"/>
      <c r="AG362" s="49"/>
      <c r="AH362" s="49"/>
      <c r="AI362" s="49"/>
      <c r="AJ362" s="49"/>
      <c r="AK362" s="49">
        <f>Z362+Y362+X362+W362+N362+AG362+AJ362+AI362+AH362</f>
        <v>682500</v>
      </c>
      <c r="AL362" s="49">
        <f>AK362/AD362*100</f>
        <v>100</v>
      </c>
      <c r="AM362" s="49"/>
      <c r="AN362" s="49"/>
      <c r="AO362" s="49"/>
      <c r="AP362" s="49"/>
      <c r="AQ362" s="49">
        <f>AK362+AM362+AN362+AO362+AP362</f>
        <v>682500</v>
      </c>
      <c r="AR362" s="49">
        <f>AQ362/AB362*100</f>
        <v>100</v>
      </c>
      <c r="AS362" s="49">
        <f t="shared" si="99"/>
        <v>0</v>
      </c>
      <c r="AT362" s="49">
        <v>3091500</v>
      </c>
      <c r="AU362" s="49">
        <f>AT362+U362</f>
        <v>3774000</v>
      </c>
      <c r="AV362" s="49">
        <f>AK362</f>
        <v>682500</v>
      </c>
      <c r="AW362" s="72">
        <f>AV362/AU362*100</f>
        <v>18.084260731319553</v>
      </c>
      <c r="AX362" s="49">
        <f>AU362-AV362</f>
        <v>3091500</v>
      </c>
      <c r="AY362" s="49">
        <f t="shared" si="96"/>
        <v>0</v>
      </c>
      <c r="AZ362" s="73">
        <f t="shared" si="98"/>
        <v>682500</v>
      </c>
    </row>
    <row r="363" spans="1:52" ht="20.100000000000001" hidden="1" customHeight="1">
      <c r="A363" s="68"/>
      <c r="B363" s="69"/>
      <c r="C363" s="240" t="s">
        <v>539</v>
      </c>
      <c r="D363" s="240"/>
      <c r="E363" s="241"/>
      <c r="F363" s="70"/>
      <c r="G363" s="71"/>
      <c r="H363" s="71"/>
      <c r="I363" s="71"/>
      <c r="J363" s="240" t="s">
        <v>352</v>
      </c>
      <c r="K363" s="241"/>
      <c r="L363" s="49">
        <v>92300000</v>
      </c>
      <c r="M363" s="49">
        <f t="shared" si="97"/>
        <v>92300000</v>
      </c>
      <c r="N363" s="49"/>
      <c r="O363" s="49"/>
      <c r="P363" s="49"/>
      <c r="Q363" s="49">
        <f>SUM(N363:P363)</f>
        <v>0</v>
      </c>
      <c r="R363" s="72">
        <f>Q363/M363*100</f>
        <v>0</v>
      </c>
      <c r="S363" s="49">
        <f>M363-Q363</f>
        <v>92300000</v>
      </c>
      <c r="T363" s="49">
        <v>0</v>
      </c>
      <c r="U363" s="49">
        <f t="shared" si="100"/>
        <v>92300000</v>
      </c>
      <c r="V363" s="49">
        <f t="shared" si="101"/>
        <v>92300000</v>
      </c>
      <c r="W363" s="49"/>
      <c r="X363" s="49"/>
      <c r="Y363" s="49"/>
      <c r="Z363" s="49">
        <v>89500000</v>
      </c>
      <c r="AA363" s="49">
        <v>0</v>
      </c>
      <c r="AB363" s="49">
        <v>92300000</v>
      </c>
      <c r="AC363" s="49">
        <f t="shared" si="89"/>
        <v>0</v>
      </c>
      <c r="AD363" s="49">
        <f t="shared" si="102"/>
        <v>92300000</v>
      </c>
      <c r="AE363" s="49"/>
      <c r="AF363" s="49"/>
      <c r="AG363" s="49"/>
      <c r="AH363" s="49"/>
      <c r="AI363" s="49"/>
      <c r="AJ363" s="49"/>
      <c r="AK363" s="49">
        <f>Z363+Y363+X363+W363+N363+AG363+AJ363+AI363+AH363</f>
        <v>89500000</v>
      </c>
      <c r="AL363" s="49">
        <f>AK363/AD363*100</f>
        <v>96.966413867822325</v>
      </c>
      <c r="AM363" s="49"/>
      <c r="AN363" s="49"/>
      <c r="AO363" s="49"/>
      <c r="AP363" s="49"/>
      <c r="AQ363" s="49">
        <f>AK363+AM363+AN363+AO363+AP363</f>
        <v>89500000</v>
      </c>
      <c r="AR363" s="49">
        <f>AQ363/AB363*100</f>
        <v>96.966413867822325</v>
      </c>
      <c r="AS363" s="49">
        <f t="shared" si="99"/>
        <v>2800000</v>
      </c>
      <c r="AT363" s="49">
        <v>3091500</v>
      </c>
      <c r="AU363" s="49">
        <f>AT363+U363</f>
        <v>95391500</v>
      </c>
      <c r="AV363" s="49">
        <f>AK363</f>
        <v>89500000</v>
      </c>
      <c r="AW363" s="72">
        <f>AV363/AU363*100</f>
        <v>93.823873196249139</v>
      </c>
      <c r="AX363" s="49">
        <f>AU363-AV363</f>
        <v>5891500</v>
      </c>
      <c r="AY363" s="49">
        <f t="shared" si="96"/>
        <v>3.0335861321776814</v>
      </c>
      <c r="AZ363" s="73">
        <f t="shared" si="98"/>
        <v>89500000</v>
      </c>
    </row>
    <row r="364" spans="1:52" ht="20.100000000000001" hidden="1" customHeight="1">
      <c r="A364" s="68"/>
      <c r="B364" s="69"/>
      <c r="C364" s="240" t="s">
        <v>540</v>
      </c>
      <c r="D364" s="240"/>
      <c r="E364" s="241"/>
      <c r="F364" s="70"/>
      <c r="G364" s="71"/>
      <c r="H364" s="71"/>
      <c r="I364" s="240" t="s">
        <v>151</v>
      </c>
      <c r="J364" s="240"/>
      <c r="K364" s="241"/>
      <c r="L364" s="49"/>
      <c r="M364" s="49"/>
      <c r="N364" s="49"/>
      <c r="O364" s="49"/>
      <c r="P364" s="49"/>
      <c r="Q364" s="49"/>
      <c r="R364" s="72"/>
      <c r="S364" s="49"/>
      <c r="T364" s="49"/>
      <c r="U364" s="49"/>
      <c r="V364" s="49"/>
      <c r="W364" s="49"/>
      <c r="X364" s="49"/>
      <c r="Y364" s="49"/>
      <c r="Z364" s="49"/>
      <c r="AA364" s="49"/>
      <c r="AB364" s="49"/>
      <c r="AC364" s="49">
        <f t="shared" si="89"/>
        <v>0</v>
      </c>
      <c r="AD364" s="49"/>
      <c r="AE364" s="49"/>
      <c r="AF364" s="49"/>
      <c r="AG364" s="49"/>
      <c r="AH364" s="49"/>
      <c r="AI364" s="49"/>
      <c r="AJ364" s="49"/>
      <c r="AK364" s="49"/>
      <c r="AL364" s="49"/>
      <c r="AM364" s="49"/>
      <c r="AN364" s="49"/>
      <c r="AO364" s="49"/>
      <c r="AP364" s="49"/>
      <c r="AQ364" s="49"/>
      <c r="AR364" s="49"/>
      <c r="AS364" s="49"/>
      <c r="AT364" s="49"/>
      <c r="AU364" s="49"/>
      <c r="AV364" s="49"/>
      <c r="AW364" s="49"/>
      <c r="AX364" s="49"/>
      <c r="AY364" s="49"/>
      <c r="AZ364" s="73">
        <f t="shared" si="98"/>
        <v>0</v>
      </c>
    </row>
    <row r="365" spans="1:52" ht="20.100000000000001" hidden="1" customHeight="1">
      <c r="A365" s="68"/>
      <c r="B365" s="69"/>
      <c r="C365" s="240" t="s">
        <v>541</v>
      </c>
      <c r="D365" s="240"/>
      <c r="E365" s="241"/>
      <c r="F365" s="70"/>
      <c r="G365" s="71"/>
      <c r="H365" s="71"/>
      <c r="I365" s="71"/>
      <c r="J365" s="240" t="s">
        <v>153</v>
      </c>
      <c r="K365" s="241"/>
      <c r="L365" s="49">
        <v>1400000</v>
      </c>
      <c r="M365" s="49">
        <f t="shared" si="97"/>
        <v>1400000</v>
      </c>
      <c r="N365" s="49"/>
      <c r="O365" s="49"/>
      <c r="P365" s="49"/>
      <c r="Q365" s="49">
        <f>SUM(N365:P365)</f>
        <v>0</v>
      </c>
      <c r="R365" s="72">
        <f>Q365/M365*100</f>
        <v>0</v>
      </c>
      <c r="S365" s="49">
        <f>M365-Q365</f>
        <v>1400000</v>
      </c>
      <c r="T365" s="49">
        <v>0</v>
      </c>
      <c r="U365" s="49">
        <f t="shared" si="100"/>
        <v>1400000</v>
      </c>
      <c r="V365" s="49">
        <f t="shared" si="101"/>
        <v>1400000</v>
      </c>
      <c r="W365" s="49"/>
      <c r="X365" s="49"/>
      <c r="Y365" s="49"/>
      <c r="Z365" s="49">
        <v>1400000</v>
      </c>
      <c r="AA365" s="49">
        <v>0</v>
      </c>
      <c r="AB365" s="49">
        <v>1400000</v>
      </c>
      <c r="AC365" s="49">
        <f t="shared" si="89"/>
        <v>0</v>
      </c>
      <c r="AD365" s="49">
        <f t="shared" si="102"/>
        <v>1400000</v>
      </c>
      <c r="AE365" s="49"/>
      <c r="AF365" s="49"/>
      <c r="AG365" s="49"/>
      <c r="AH365" s="49"/>
      <c r="AI365" s="49"/>
      <c r="AJ365" s="49"/>
      <c r="AK365" s="49">
        <f>Z365+Y365+X365+W365+N365+AG365+AJ365+AI365+AH365</f>
        <v>1400000</v>
      </c>
      <c r="AL365" s="49">
        <f>AK365/AD365*100</f>
        <v>100</v>
      </c>
      <c r="AM365" s="49"/>
      <c r="AN365" s="49"/>
      <c r="AO365" s="49"/>
      <c r="AP365" s="49"/>
      <c r="AQ365" s="49">
        <f>AK365+AM365+AN365+AO365+AP365</f>
        <v>1400000</v>
      </c>
      <c r="AR365" s="49">
        <f>AQ365/AB365*100</f>
        <v>100</v>
      </c>
      <c r="AS365" s="49">
        <f t="shared" si="99"/>
        <v>0</v>
      </c>
      <c r="AT365" s="49">
        <v>3091500</v>
      </c>
      <c r="AU365" s="49">
        <f>AT365+U365</f>
        <v>4491500</v>
      </c>
      <c r="AV365" s="49">
        <f>AK365</f>
        <v>1400000</v>
      </c>
      <c r="AW365" s="72">
        <f>AV365/AU365*100</f>
        <v>31.169987754647664</v>
      </c>
      <c r="AX365" s="49">
        <f>AU365-AV365</f>
        <v>3091500</v>
      </c>
      <c r="AY365" s="49">
        <f t="shared" si="96"/>
        <v>0</v>
      </c>
      <c r="AZ365" s="73">
        <f t="shared" si="98"/>
        <v>1400000</v>
      </c>
    </row>
    <row r="366" spans="1:52" ht="20.100000000000001" hidden="1" customHeight="1">
      <c r="A366" s="68"/>
      <c r="B366" s="69"/>
      <c r="C366" s="240" t="s">
        <v>542</v>
      </c>
      <c r="D366" s="240"/>
      <c r="E366" s="241"/>
      <c r="F366" s="70"/>
      <c r="G366" s="71"/>
      <c r="H366" s="71"/>
      <c r="I366" s="71"/>
      <c r="J366" s="240" t="s">
        <v>155</v>
      </c>
      <c r="K366" s="241"/>
      <c r="L366" s="49">
        <v>2222000</v>
      </c>
      <c r="M366" s="49">
        <f t="shared" si="97"/>
        <v>2222000</v>
      </c>
      <c r="N366" s="49"/>
      <c r="O366" s="49"/>
      <c r="P366" s="49"/>
      <c r="Q366" s="49">
        <f>SUM(N366:P366)</f>
        <v>0</v>
      </c>
      <c r="R366" s="72">
        <f>Q366/M366*100</f>
        <v>0</v>
      </c>
      <c r="S366" s="49">
        <f>M366-Q366</f>
        <v>2222000</v>
      </c>
      <c r="T366" s="49">
        <v>0</v>
      </c>
      <c r="U366" s="49">
        <f t="shared" si="100"/>
        <v>2222000</v>
      </c>
      <c r="V366" s="49">
        <f t="shared" si="101"/>
        <v>2222000</v>
      </c>
      <c r="W366" s="49"/>
      <c r="X366" s="49"/>
      <c r="Y366" s="49"/>
      <c r="Z366" s="49">
        <v>2221975</v>
      </c>
      <c r="AA366" s="49">
        <v>0</v>
      </c>
      <c r="AB366" s="49">
        <v>2222000</v>
      </c>
      <c r="AC366" s="49">
        <f t="shared" si="89"/>
        <v>0</v>
      </c>
      <c r="AD366" s="49">
        <f t="shared" si="102"/>
        <v>2222000</v>
      </c>
      <c r="AE366" s="49"/>
      <c r="AF366" s="49"/>
      <c r="AG366" s="49"/>
      <c r="AH366" s="49"/>
      <c r="AI366" s="49"/>
      <c r="AJ366" s="49"/>
      <c r="AK366" s="49">
        <f>Z366+Y366+X366+W366+N366+AG366+AJ366+AI366+AH366</f>
        <v>2221975</v>
      </c>
      <c r="AL366" s="49">
        <f>AK366/AD366*100</f>
        <v>99.998874887488753</v>
      </c>
      <c r="AM366" s="49"/>
      <c r="AN366" s="49"/>
      <c r="AO366" s="49"/>
      <c r="AP366" s="49"/>
      <c r="AQ366" s="49">
        <f>AK366+AM366+AN366+AO366+AP366</f>
        <v>2221975</v>
      </c>
      <c r="AR366" s="49">
        <f>AQ366/AB366*100</f>
        <v>99.998874887488753</v>
      </c>
      <c r="AS366" s="49">
        <f t="shared" si="99"/>
        <v>25</v>
      </c>
      <c r="AT366" s="49">
        <v>3091500</v>
      </c>
      <c r="AU366" s="49">
        <f>AT366+U366</f>
        <v>5313500</v>
      </c>
      <c r="AV366" s="49">
        <f>AK366</f>
        <v>2221975</v>
      </c>
      <c r="AW366" s="72">
        <f>AV366/AU366*100</f>
        <v>41.817540227721835</v>
      </c>
      <c r="AX366" s="49">
        <f>AU366-AV366</f>
        <v>3091525</v>
      </c>
      <c r="AY366" s="49">
        <f t="shared" si="96"/>
        <v>1.1251125112511251E-3</v>
      </c>
      <c r="AZ366" s="73">
        <f t="shared" si="98"/>
        <v>2221975</v>
      </c>
    </row>
    <row r="367" spans="1:52" ht="20.100000000000001" hidden="1" customHeight="1">
      <c r="A367" s="68"/>
      <c r="B367" s="69"/>
      <c r="C367" s="240" t="s">
        <v>543</v>
      </c>
      <c r="D367" s="240"/>
      <c r="E367" s="241"/>
      <c r="F367" s="70"/>
      <c r="G367" s="71"/>
      <c r="H367" s="71"/>
      <c r="I367" s="240" t="s">
        <v>193</v>
      </c>
      <c r="J367" s="240"/>
      <c r="K367" s="241"/>
      <c r="L367" s="49"/>
      <c r="M367" s="49">
        <f t="shared" si="97"/>
        <v>0</v>
      </c>
      <c r="N367" s="49"/>
      <c r="O367" s="49"/>
      <c r="P367" s="49"/>
      <c r="Q367" s="49"/>
      <c r="R367" s="72"/>
      <c r="S367" s="49"/>
      <c r="T367" s="49">
        <v>0</v>
      </c>
      <c r="U367" s="49">
        <f t="shared" si="100"/>
        <v>0</v>
      </c>
      <c r="V367" s="49">
        <f t="shared" si="101"/>
        <v>0</v>
      </c>
      <c r="W367" s="49"/>
      <c r="X367" s="49"/>
      <c r="Y367" s="49"/>
      <c r="Z367" s="49"/>
      <c r="AA367" s="49">
        <v>0</v>
      </c>
      <c r="AB367" s="49"/>
      <c r="AC367" s="49">
        <f t="shared" si="89"/>
        <v>0</v>
      </c>
      <c r="AD367" s="49"/>
      <c r="AE367" s="49"/>
      <c r="AF367" s="49"/>
      <c r="AG367" s="49"/>
      <c r="AH367" s="49"/>
      <c r="AI367" s="49"/>
      <c r="AJ367" s="49"/>
      <c r="AK367" s="49"/>
      <c r="AL367" s="49"/>
      <c r="AM367" s="49"/>
      <c r="AN367" s="49"/>
      <c r="AO367" s="49"/>
      <c r="AP367" s="49"/>
      <c r="AQ367" s="49"/>
      <c r="AR367" s="49"/>
      <c r="AS367" s="49"/>
      <c r="AT367" s="49"/>
      <c r="AU367" s="49"/>
      <c r="AV367" s="49"/>
      <c r="AW367" s="49"/>
      <c r="AX367" s="49"/>
      <c r="AY367" s="49"/>
      <c r="AZ367" s="73">
        <f t="shared" si="98"/>
        <v>0</v>
      </c>
    </row>
    <row r="368" spans="1:52" ht="20.100000000000001" hidden="1" customHeight="1">
      <c r="A368" s="68"/>
      <c r="B368" s="69"/>
      <c r="C368" s="240" t="s">
        <v>544</v>
      </c>
      <c r="D368" s="240"/>
      <c r="E368" s="241"/>
      <c r="F368" s="70"/>
      <c r="G368" s="71"/>
      <c r="H368" s="71"/>
      <c r="I368" s="71"/>
      <c r="J368" s="240" t="s">
        <v>195</v>
      </c>
      <c r="K368" s="241"/>
      <c r="L368" s="49">
        <v>61468000</v>
      </c>
      <c r="M368" s="49">
        <f t="shared" si="97"/>
        <v>61468000</v>
      </c>
      <c r="N368" s="49"/>
      <c r="O368" s="49"/>
      <c r="P368" s="49"/>
      <c r="Q368" s="49">
        <f>SUM(N368:P368)</f>
        <v>0</v>
      </c>
      <c r="R368" s="72">
        <f>Q368/M368*100</f>
        <v>0</v>
      </c>
      <c r="S368" s="49">
        <f>M368-Q368</f>
        <v>61468000</v>
      </c>
      <c r="T368" s="49">
        <v>0</v>
      </c>
      <c r="U368" s="49">
        <f t="shared" si="100"/>
        <v>61468000</v>
      </c>
      <c r="V368" s="49">
        <f t="shared" si="101"/>
        <v>61468000</v>
      </c>
      <c r="W368" s="49"/>
      <c r="X368" s="49"/>
      <c r="Y368" s="49"/>
      <c r="Z368" s="49">
        <v>61467500</v>
      </c>
      <c r="AA368" s="49">
        <v>0</v>
      </c>
      <c r="AB368" s="49">
        <v>61468000</v>
      </c>
      <c r="AC368" s="49">
        <f t="shared" si="89"/>
        <v>0</v>
      </c>
      <c r="AD368" s="49">
        <f t="shared" si="102"/>
        <v>61468000</v>
      </c>
      <c r="AE368" s="49"/>
      <c r="AF368" s="49"/>
      <c r="AG368" s="49"/>
      <c r="AH368" s="49"/>
      <c r="AI368" s="49"/>
      <c r="AJ368" s="49"/>
      <c r="AK368" s="49">
        <f>Z368+Y368+X368+W368+N368+AG368+AJ368+AI368+AH368</f>
        <v>61467500</v>
      </c>
      <c r="AL368" s="49">
        <f>AK368/AD368*100</f>
        <v>99.99918656862107</v>
      </c>
      <c r="AM368" s="49"/>
      <c r="AN368" s="49"/>
      <c r="AO368" s="49"/>
      <c r="AP368" s="49"/>
      <c r="AQ368" s="49">
        <f>AK368+AM368+AN368+AO368+AP368</f>
        <v>61467500</v>
      </c>
      <c r="AR368" s="49">
        <f>AQ368/AB368*100</f>
        <v>99.99918656862107</v>
      </c>
      <c r="AS368" s="49">
        <f t="shared" si="99"/>
        <v>500</v>
      </c>
      <c r="AT368" s="49">
        <v>3091500</v>
      </c>
      <c r="AU368" s="49">
        <f>AT368+U368</f>
        <v>64559500</v>
      </c>
      <c r="AV368" s="49">
        <f>AK368</f>
        <v>61467500</v>
      </c>
      <c r="AW368" s="72">
        <f>AV368/AU368*100</f>
        <v>95.210619660932934</v>
      </c>
      <c r="AX368" s="49">
        <f>AU368-AV368</f>
        <v>3092000</v>
      </c>
      <c r="AY368" s="49">
        <f t="shared" si="96"/>
        <v>8.1343137892887362E-4</v>
      </c>
      <c r="AZ368" s="73">
        <f t="shared" si="98"/>
        <v>61467500</v>
      </c>
    </row>
    <row r="369" spans="1:53" ht="20.100000000000001" hidden="1" customHeight="1">
      <c r="A369" s="68"/>
      <c r="B369" s="69"/>
      <c r="C369" s="240" t="s">
        <v>545</v>
      </c>
      <c r="D369" s="240"/>
      <c r="E369" s="241"/>
      <c r="F369" s="70"/>
      <c r="G369" s="71"/>
      <c r="H369" s="71"/>
      <c r="I369" s="240" t="s">
        <v>157</v>
      </c>
      <c r="J369" s="240"/>
      <c r="K369" s="241"/>
      <c r="L369" s="49"/>
      <c r="M369" s="49">
        <f t="shared" si="97"/>
        <v>0</v>
      </c>
      <c r="N369" s="49"/>
      <c r="O369" s="49"/>
      <c r="P369" s="49"/>
      <c r="Q369" s="49"/>
      <c r="R369" s="72"/>
      <c r="S369" s="49"/>
      <c r="T369" s="49"/>
      <c r="U369" s="49"/>
      <c r="V369" s="49"/>
      <c r="W369" s="49"/>
      <c r="X369" s="49"/>
      <c r="Y369" s="49"/>
      <c r="Z369" s="49"/>
      <c r="AA369" s="49"/>
      <c r="AB369" s="49"/>
      <c r="AC369" s="49">
        <f t="shared" ref="AC369:AC435" si="103">AB369-L369</f>
        <v>0</v>
      </c>
      <c r="AD369" s="49"/>
      <c r="AE369" s="49"/>
      <c r="AF369" s="49"/>
      <c r="AG369" s="49"/>
      <c r="AH369" s="49"/>
      <c r="AI369" s="49"/>
      <c r="AJ369" s="49"/>
      <c r="AK369" s="49"/>
      <c r="AL369" s="49"/>
      <c r="AM369" s="49"/>
      <c r="AN369" s="49"/>
      <c r="AO369" s="49"/>
      <c r="AP369" s="49"/>
      <c r="AQ369" s="49"/>
      <c r="AR369" s="49"/>
      <c r="AS369" s="49"/>
      <c r="AT369" s="49"/>
      <c r="AU369" s="49"/>
      <c r="AV369" s="49"/>
      <c r="AW369" s="49"/>
      <c r="AX369" s="49"/>
      <c r="AY369" s="49"/>
      <c r="AZ369" s="73">
        <f t="shared" si="98"/>
        <v>0</v>
      </c>
    </row>
    <row r="370" spans="1:53" ht="20.100000000000001" hidden="1" customHeight="1">
      <c r="A370" s="68"/>
      <c r="B370" s="69"/>
      <c r="C370" s="240" t="s">
        <v>546</v>
      </c>
      <c r="D370" s="240"/>
      <c r="E370" s="241"/>
      <c r="F370" s="70"/>
      <c r="G370" s="71"/>
      <c r="H370" s="71"/>
      <c r="I370" s="71"/>
      <c r="J370" s="240" t="s">
        <v>159</v>
      </c>
      <c r="K370" s="241"/>
      <c r="L370" s="49">
        <v>24120000</v>
      </c>
      <c r="M370" s="49">
        <f t="shared" si="97"/>
        <v>24120000</v>
      </c>
      <c r="N370" s="49"/>
      <c r="O370" s="49"/>
      <c r="P370" s="49"/>
      <c r="Q370" s="49">
        <f>SUM(N370:P370)</f>
        <v>0</v>
      </c>
      <c r="R370" s="72">
        <f>Q370/M370*100</f>
        <v>0</v>
      </c>
      <c r="S370" s="49">
        <f>M370-Q370</f>
        <v>24120000</v>
      </c>
      <c r="T370" s="49">
        <v>0</v>
      </c>
      <c r="U370" s="49">
        <f>T370+M370</f>
        <v>24120000</v>
      </c>
      <c r="V370" s="49">
        <f>T370+S370</f>
        <v>24120000</v>
      </c>
      <c r="W370" s="49"/>
      <c r="X370" s="49"/>
      <c r="Y370" s="49"/>
      <c r="Z370" s="49">
        <f>22660000+1440000</f>
        <v>24100000</v>
      </c>
      <c r="AA370" s="49">
        <v>0</v>
      </c>
      <c r="AB370" s="49">
        <v>24120000</v>
      </c>
      <c r="AC370" s="49">
        <f t="shared" si="103"/>
        <v>0</v>
      </c>
      <c r="AD370" s="49">
        <f>AA370+T370+M370</f>
        <v>24120000</v>
      </c>
      <c r="AE370" s="49"/>
      <c r="AF370" s="49"/>
      <c r="AG370" s="49"/>
      <c r="AH370" s="49"/>
      <c r="AI370" s="49"/>
      <c r="AJ370" s="49"/>
      <c r="AK370" s="49">
        <f>Z370+Y370+X370+W370+N370+AG370+AJ370+AI370+AH370</f>
        <v>24100000</v>
      </c>
      <c r="AL370" s="49">
        <f>AK370/AD370*100</f>
        <v>99.917081260364839</v>
      </c>
      <c r="AM370" s="49"/>
      <c r="AN370" s="49"/>
      <c r="AO370" s="49"/>
      <c r="AP370" s="49"/>
      <c r="AQ370" s="49">
        <f>AK370+AM370+AN370+AO370+AP370</f>
        <v>24100000</v>
      </c>
      <c r="AR370" s="49">
        <f>AQ370/AB370*100</f>
        <v>99.917081260364839</v>
      </c>
      <c r="AS370" s="49">
        <f t="shared" si="99"/>
        <v>20000</v>
      </c>
      <c r="AT370" s="49">
        <v>3091500</v>
      </c>
      <c r="AU370" s="49">
        <f>AT370+U370</f>
        <v>27211500</v>
      </c>
      <c r="AV370" s="49">
        <f>AK370</f>
        <v>24100000</v>
      </c>
      <c r="AW370" s="72">
        <f>AV370/AU370*100</f>
        <v>88.565496205648344</v>
      </c>
      <c r="AX370" s="49">
        <f>AU370-AV370</f>
        <v>3111500</v>
      </c>
      <c r="AY370" s="49">
        <f t="shared" si="96"/>
        <v>8.2918739635157543E-2</v>
      </c>
      <c r="AZ370" s="73">
        <f t="shared" si="98"/>
        <v>24100000</v>
      </c>
    </row>
    <row r="371" spans="1:53" ht="20.100000000000001" hidden="1" customHeight="1">
      <c r="A371" s="68"/>
      <c r="B371" s="69"/>
      <c r="C371" s="240" t="s">
        <v>547</v>
      </c>
      <c r="D371" s="240"/>
      <c r="E371" s="241"/>
      <c r="F371" s="70"/>
      <c r="G371" s="71"/>
      <c r="H371" s="71"/>
      <c r="I371" s="71"/>
      <c r="J371" s="240" t="s">
        <v>207</v>
      </c>
      <c r="K371" s="241"/>
      <c r="L371" s="49">
        <v>3482500</v>
      </c>
      <c r="M371" s="49">
        <f t="shared" si="97"/>
        <v>3482500</v>
      </c>
      <c r="N371" s="49"/>
      <c r="O371" s="49"/>
      <c r="P371" s="49"/>
      <c r="Q371" s="49">
        <f>SUM(N371:P371)</f>
        <v>0</v>
      </c>
      <c r="R371" s="72">
        <f>Q371/M371*100</f>
        <v>0</v>
      </c>
      <c r="S371" s="49">
        <f>M371-Q371</f>
        <v>3482500</v>
      </c>
      <c r="T371" s="49">
        <v>0</v>
      </c>
      <c r="U371" s="49">
        <f>T371+M371</f>
        <v>3482500</v>
      </c>
      <c r="V371" s="49">
        <f>T371+S371</f>
        <v>3482500</v>
      </c>
      <c r="W371" s="49"/>
      <c r="X371" s="49"/>
      <c r="Y371" s="49"/>
      <c r="Z371" s="49">
        <v>3460000</v>
      </c>
      <c r="AA371" s="49">
        <v>0</v>
      </c>
      <c r="AB371" s="49">
        <v>3482500</v>
      </c>
      <c r="AC371" s="49">
        <f t="shared" si="103"/>
        <v>0</v>
      </c>
      <c r="AD371" s="49">
        <f>AA371+T371+M371</f>
        <v>3482500</v>
      </c>
      <c r="AE371" s="49"/>
      <c r="AF371" s="49"/>
      <c r="AG371" s="49"/>
      <c r="AH371" s="49"/>
      <c r="AI371" s="49"/>
      <c r="AJ371" s="49"/>
      <c r="AK371" s="49">
        <f>Z371+Y371+X371+W371+N371+AG371+AJ371+AI371+AH371</f>
        <v>3460000</v>
      </c>
      <c r="AL371" s="49">
        <f>AK371/AD371*100</f>
        <v>99.353912419239052</v>
      </c>
      <c r="AM371" s="49"/>
      <c r="AN371" s="49"/>
      <c r="AO371" s="49"/>
      <c r="AP371" s="49"/>
      <c r="AQ371" s="49">
        <f>AK371+AM371+AN371+AO371+AP371</f>
        <v>3460000</v>
      </c>
      <c r="AR371" s="49">
        <f>AQ371/AB371*100</f>
        <v>99.353912419239052</v>
      </c>
      <c r="AS371" s="49">
        <f t="shared" si="99"/>
        <v>22500</v>
      </c>
      <c r="AT371" s="49">
        <v>3091500</v>
      </c>
      <c r="AU371" s="49">
        <f>AT371+U371</f>
        <v>6574000</v>
      </c>
      <c r="AV371" s="49">
        <f>AK371</f>
        <v>3460000</v>
      </c>
      <c r="AW371" s="72">
        <f>AV371/AU371*100</f>
        <v>52.631578947368418</v>
      </c>
      <c r="AX371" s="49">
        <f>AU371-AV371</f>
        <v>3114000</v>
      </c>
      <c r="AY371" s="49">
        <f t="shared" si="96"/>
        <v>0.64608758076094763</v>
      </c>
      <c r="AZ371" s="73">
        <f t="shared" si="98"/>
        <v>3460000</v>
      </c>
    </row>
    <row r="372" spans="1:53" ht="20.100000000000001" hidden="1" customHeight="1">
      <c r="A372" s="68"/>
      <c r="B372" s="69"/>
      <c r="C372" s="240" t="s">
        <v>548</v>
      </c>
      <c r="D372" s="240"/>
      <c r="E372" s="241"/>
      <c r="F372" s="70"/>
      <c r="G372" s="71"/>
      <c r="H372" s="71"/>
      <c r="I372" s="240" t="s">
        <v>402</v>
      </c>
      <c r="J372" s="240"/>
      <c r="K372" s="241"/>
      <c r="L372" s="49"/>
      <c r="M372" s="49"/>
      <c r="N372" s="49"/>
      <c r="O372" s="49"/>
      <c r="P372" s="49"/>
      <c r="Q372" s="49"/>
      <c r="R372" s="72"/>
      <c r="S372" s="49"/>
      <c r="T372" s="49"/>
      <c r="U372" s="49"/>
      <c r="V372" s="49"/>
      <c r="W372" s="49"/>
      <c r="X372" s="49"/>
      <c r="Y372" s="49"/>
      <c r="Z372" s="49"/>
      <c r="AA372" s="49"/>
      <c r="AB372" s="49"/>
      <c r="AC372" s="49">
        <f t="shared" si="103"/>
        <v>0</v>
      </c>
      <c r="AD372" s="49"/>
      <c r="AE372" s="49"/>
      <c r="AF372" s="49"/>
      <c r="AG372" s="49"/>
      <c r="AH372" s="49"/>
      <c r="AI372" s="49"/>
      <c r="AJ372" s="49"/>
      <c r="AK372" s="49"/>
      <c r="AL372" s="49"/>
      <c r="AM372" s="49"/>
      <c r="AN372" s="49"/>
      <c r="AO372" s="49"/>
      <c r="AP372" s="49"/>
      <c r="AQ372" s="49"/>
      <c r="AR372" s="49"/>
      <c r="AS372" s="49"/>
      <c r="AT372" s="49"/>
      <c r="AU372" s="49"/>
      <c r="AV372" s="49"/>
      <c r="AW372" s="49"/>
      <c r="AX372" s="49"/>
      <c r="AY372" s="49"/>
      <c r="AZ372" s="73">
        <f t="shared" si="98"/>
        <v>0</v>
      </c>
    </row>
    <row r="373" spans="1:53" ht="20.100000000000001" hidden="1" customHeight="1">
      <c r="A373" s="68"/>
      <c r="B373" s="69"/>
      <c r="C373" s="240" t="s">
        <v>549</v>
      </c>
      <c r="D373" s="240"/>
      <c r="E373" s="241"/>
      <c r="F373" s="70"/>
      <c r="G373" s="71"/>
      <c r="H373" s="71"/>
      <c r="I373" s="71"/>
      <c r="J373" s="240" t="s">
        <v>404</v>
      </c>
      <c r="K373" s="241"/>
      <c r="L373" s="49">
        <v>49950000</v>
      </c>
      <c r="M373" s="49">
        <f t="shared" si="97"/>
        <v>49950000</v>
      </c>
      <c r="N373" s="49"/>
      <c r="O373" s="49"/>
      <c r="P373" s="49"/>
      <c r="Q373" s="49">
        <f>SUM(N373:P373)</f>
        <v>0</v>
      </c>
      <c r="R373" s="72">
        <f>Q373/M373*100</f>
        <v>0</v>
      </c>
      <c r="S373" s="49">
        <f>M373-Q373</f>
        <v>49950000</v>
      </c>
      <c r="T373" s="49">
        <v>0</v>
      </c>
      <c r="U373" s="49">
        <f>T373+M373</f>
        <v>49950000</v>
      </c>
      <c r="V373" s="49">
        <f>T373+S373</f>
        <v>49950000</v>
      </c>
      <c r="W373" s="49"/>
      <c r="X373" s="49"/>
      <c r="Y373" s="49"/>
      <c r="Z373" s="49">
        <v>49950000</v>
      </c>
      <c r="AA373" s="49">
        <v>0</v>
      </c>
      <c r="AB373" s="49">
        <v>49950000</v>
      </c>
      <c r="AC373" s="49">
        <f t="shared" si="103"/>
        <v>0</v>
      </c>
      <c r="AD373" s="49">
        <f>AA373+T373+M373</f>
        <v>49950000</v>
      </c>
      <c r="AE373" s="49"/>
      <c r="AF373" s="49"/>
      <c r="AG373" s="49"/>
      <c r="AH373" s="49"/>
      <c r="AI373" s="49"/>
      <c r="AJ373" s="49"/>
      <c r="AK373" s="49">
        <f>Z373+Y373+X373+W373+N373+AG373+AJ373+AI373+AH373</f>
        <v>49950000</v>
      </c>
      <c r="AL373" s="49">
        <f>AK373/AD373*100</f>
        <v>100</v>
      </c>
      <c r="AM373" s="49"/>
      <c r="AN373" s="49"/>
      <c r="AO373" s="49"/>
      <c r="AP373" s="49"/>
      <c r="AQ373" s="49">
        <f>AK373+AM373+AN373+AO373+AP373</f>
        <v>49950000</v>
      </c>
      <c r="AR373" s="49">
        <f>AQ373/AB373*100</f>
        <v>100</v>
      </c>
      <c r="AS373" s="49">
        <f t="shared" si="99"/>
        <v>0</v>
      </c>
      <c r="AT373" s="49">
        <v>3091500</v>
      </c>
      <c r="AU373" s="49">
        <f>AT373+U373</f>
        <v>53041500</v>
      </c>
      <c r="AV373" s="49">
        <f>AK373</f>
        <v>49950000</v>
      </c>
      <c r="AW373" s="72">
        <f>AV373/AU373*100</f>
        <v>94.171544922372107</v>
      </c>
      <c r="AX373" s="49">
        <f>AU373-AV373</f>
        <v>3091500</v>
      </c>
      <c r="AY373" s="49">
        <f t="shared" si="96"/>
        <v>0</v>
      </c>
      <c r="AZ373" s="73">
        <f t="shared" si="98"/>
        <v>49950000</v>
      </c>
    </row>
    <row r="374" spans="1:53" ht="20.100000000000001" customHeight="1">
      <c r="A374" s="62">
        <v>25</v>
      </c>
      <c r="B374" s="63"/>
      <c r="C374" s="242" t="s">
        <v>550</v>
      </c>
      <c r="D374" s="242"/>
      <c r="E374" s="243"/>
      <c r="F374" s="64"/>
      <c r="G374" s="244" t="s">
        <v>551</v>
      </c>
      <c r="H374" s="244"/>
      <c r="I374" s="244"/>
      <c r="J374" s="244"/>
      <c r="K374" s="245"/>
      <c r="L374" s="65">
        <f>SUM(L377:L394)</f>
        <v>120000000</v>
      </c>
      <c r="M374" s="65">
        <f>SUM(M377:M394)</f>
        <v>24120000</v>
      </c>
      <c r="N374" s="65">
        <f>SUM(N377:N394)</f>
        <v>0</v>
      </c>
      <c r="O374" s="65">
        <f>SUM(O377:O394)</f>
        <v>0</v>
      </c>
      <c r="P374" s="65">
        <f>SUM(P377:P394)</f>
        <v>0</v>
      </c>
      <c r="Q374" s="65">
        <f>SUM(N374:P374)</f>
        <v>0</v>
      </c>
      <c r="R374" s="66">
        <f>Q374/M374*100</f>
        <v>0</v>
      </c>
      <c r="S374" s="65">
        <f>M374-Q374</f>
        <v>24120000</v>
      </c>
      <c r="T374" s="65">
        <f>SUM(T377:T394)</f>
        <v>8113000</v>
      </c>
      <c r="U374" s="65">
        <f>T374+M374</f>
        <v>32233000</v>
      </c>
      <c r="V374" s="65">
        <f>T374+S374</f>
        <v>32233000</v>
      </c>
      <c r="W374" s="65">
        <f>SUM(W377:W394)</f>
        <v>0</v>
      </c>
      <c r="X374" s="65">
        <f>SUM(X377:X394)</f>
        <v>20760000</v>
      </c>
      <c r="Y374" s="65">
        <f>SUM(Y377:Y394)</f>
        <v>0</v>
      </c>
      <c r="Z374" s="65"/>
      <c r="AA374" s="65">
        <f>SUM(AA377:AA394)</f>
        <v>87767000</v>
      </c>
      <c r="AB374" s="65">
        <f>SUM(AB377:AB394)</f>
        <v>120000000</v>
      </c>
      <c r="AC374" s="65">
        <f t="shared" si="103"/>
        <v>0</v>
      </c>
      <c r="AD374" s="65">
        <f>AA374+T374+M374</f>
        <v>120000000</v>
      </c>
      <c r="AE374" s="65">
        <f t="shared" ref="AE374:AK374" si="104">SUM(AE377:AE394)</f>
        <v>0</v>
      </c>
      <c r="AF374" s="65">
        <f t="shared" si="104"/>
        <v>47500000</v>
      </c>
      <c r="AG374" s="65">
        <f t="shared" si="104"/>
        <v>24157000</v>
      </c>
      <c r="AH374" s="65">
        <f t="shared" si="104"/>
        <v>0</v>
      </c>
      <c r="AI374" s="65">
        <f t="shared" si="104"/>
        <v>0</v>
      </c>
      <c r="AJ374" s="65">
        <f t="shared" si="104"/>
        <v>0</v>
      </c>
      <c r="AK374" s="65">
        <f t="shared" si="104"/>
        <v>92417000</v>
      </c>
      <c r="AL374" s="65">
        <f>AK374/AB374*100</f>
        <v>77.014166666666668</v>
      </c>
      <c r="AM374" s="65">
        <f>SUM(AM377:AM394)</f>
        <v>0</v>
      </c>
      <c r="AN374" s="65">
        <f>SUM(AN377:AN394)</f>
        <v>0</v>
      </c>
      <c r="AO374" s="65">
        <f>SUM(AO377:AO394)</f>
        <v>0</v>
      </c>
      <c r="AP374" s="65">
        <f>SUM(AP377:AP394)</f>
        <v>0</v>
      </c>
      <c r="AQ374" s="65">
        <f>AK374+AM374+AN374+AO374+AP374</f>
        <v>92417000</v>
      </c>
      <c r="AR374" s="65">
        <f>AQ374/AB374*100</f>
        <v>77.014166666666668</v>
      </c>
      <c r="AS374" s="65">
        <f>AB374-AQ374</f>
        <v>27583000</v>
      </c>
      <c r="AT374" s="65">
        <f>SUM(AT377:AT383)</f>
        <v>12366000</v>
      </c>
      <c r="AU374" s="65">
        <f>AT374+U374</f>
        <v>44599000</v>
      </c>
      <c r="AV374" s="65">
        <f>AK374</f>
        <v>92417000</v>
      </c>
      <c r="AW374" s="66">
        <f>AV374/AU374*100</f>
        <v>207.21765061996905</v>
      </c>
      <c r="AX374" s="65">
        <f>AU374-AV374</f>
        <v>-47818000</v>
      </c>
      <c r="AY374" s="65">
        <f>AS374/AB374*100</f>
        <v>22.985833333333332</v>
      </c>
      <c r="AZ374" s="67">
        <f t="shared" si="98"/>
        <v>92417000</v>
      </c>
      <c r="BA374" s="29">
        <f>AS374</f>
        <v>27583000</v>
      </c>
    </row>
    <row r="375" spans="1:53" ht="20.100000000000001" hidden="1" customHeight="1">
      <c r="A375" s="68"/>
      <c r="B375" s="69"/>
      <c r="C375" s="240" t="s">
        <v>552</v>
      </c>
      <c r="D375" s="240"/>
      <c r="E375" s="241"/>
      <c r="F375" s="70"/>
      <c r="G375" s="71"/>
      <c r="H375" s="240" t="s">
        <v>10</v>
      </c>
      <c r="I375" s="240"/>
      <c r="J375" s="240"/>
      <c r="K375" s="241"/>
      <c r="L375" s="49"/>
      <c r="M375" s="49"/>
      <c r="N375" s="49"/>
      <c r="O375" s="49"/>
      <c r="P375" s="49"/>
      <c r="Q375" s="49"/>
      <c r="R375" s="72"/>
      <c r="S375" s="49"/>
      <c r="T375" s="49"/>
      <c r="U375" s="49"/>
      <c r="V375" s="49"/>
      <c r="W375" s="49"/>
      <c r="X375" s="49"/>
      <c r="Y375" s="49"/>
      <c r="Z375" s="49"/>
      <c r="AA375" s="49"/>
      <c r="AB375" s="49"/>
      <c r="AC375" s="49">
        <f t="shared" si="103"/>
        <v>0</v>
      </c>
      <c r="AD375" s="49"/>
      <c r="AE375" s="49"/>
      <c r="AF375" s="49"/>
      <c r="AG375" s="49"/>
      <c r="AH375" s="49"/>
      <c r="AI375" s="49"/>
      <c r="AJ375" s="49"/>
      <c r="AK375" s="49"/>
      <c r="AL375" s="49"/>
      <c r="AM375" s="49"/>
      <c r="AN375" s="49"/>
      <c r="AO375" s="49"/>
      <c r="AP375" s="49"/>
      <c r="AQ375" s="49"/>
      <c r="AR375" s="49"/>
      <c r="AS375" s="49"/>
      <c r="AT375" s="49"/>
      <c r="AU375" s="49"/>
      <c r="AV375" s="49"/>
      <c r="AW375" s="49"/>
      <c r="AX375" s="49"/>
      <c r="AY375" s="49"/>
      <c r="AZ375" s="73">
        <f t="shared" si="98"/>
        <v>0</v>
      </c>
    </row>
    <row r="376" spans="1:53" ht="20.100000000000001" hidden="1" customHeight="1">
      <c r="A376" s="68"/>
      <c r="B376" s="69"/>
      <c r="C376" s="240" t="s">
        <v>553</v>
      </c>
      <c r="D376" s="240"/>
      <c r="E376" s="241"/>
      <c r="F376" s="70"/>
      <c r="G376" s="71"/>
      <c r="H376" s="71"/>
      <c r="I376" s="240" t="s">
        <v>177</v>
      </c>
      <c r="J376" s="240"/>
      <c r="K376" s="241"/>
      <c r="L376" s="49"/>
      <c r="M376" s="49"/>
      <c r="N376" s="49"/>
      <c r="O376" s="49"/>
      <c r="P376" s="49"/>
      <c r="Q376" s="49"/>
      <c r="R376" s="72"/>
      <c r="S376" s="49"/>
      <c r="T376" s="49"/>
      <c r="U376" s="49"/>
      <c r="V376" s="49"/>
      <c r="W376" s="49"/>
      <c r="X376" s="49"/>
      <c r="Y376" s="49"/>
      <c r="Z376" s="49"/>
      <c r="AA376" s="49"/>
      <c r="AB376" s="49"/>
      <c r="AC376" s="49">
        <f t="shared" si="103"/>
        <v>0</v>
      </c>
      <c r="AD376" s="49"/>
      <c r="AE376" s="49"/>
      <c r="AF376" s="49"/>
      <c r="AG376" s="49"/>
      <c r="AH376" s="49"/>
      <c r="AI376" s="49"/>
      <c r="AJ376" s="49"/>
      <c r="AK376" s="49"/>
      <c r="AL376" s="49"/>
      <c r="AM376" s="49"/>
      <c r="AN376" s="49"/>
      <c r="AO376" s="49"/>
      <c r="AP376" s="49"/>
      <c r="AQ376" s="49"/>
      <c r="AR376" s="49"/>
      <c r="AS376" s="49"/>
      <c r="AT376" s="49"/>
      <c r="AU376" s="49"/>
      <c r="AV376" s="49"/>
      <c r="AW376" s="49"/>
      <c r="AX376" s="49"/>
      <c r="AY376" s="49"/>
      <c r="AZ376" s="73">
        <f t="shared" si="98"/>
        <v>0</v>
      </c>
    </row>
    <row r="377" spans="1:53" ht="20.100000000000001" hidden="1" customHeight="1">
      <c r="A377" s="68"/>
      <c r="B377" s="69"/>
      <c r="C377" s="240" t="s">
        <v>554</v>
      </c>
      <c r="D377" s="240"/>
      <c r="E377" s="241"/>
      <c r="F377" s="70"/>
      <c r="G377" s="71"/>
      <c r="H377" s="71"/>
      <c r="I377" s="71"/>
      <c r="J377" s="240" t="s">
        <v>283</v>
      </c>
      <c r="K377" s="241"/>
      <c r="L377" s="49">
        <v>3540000</v>
      </c>
      <c r="M377" s="49">
        <v>0</v>
      </c>
      <c r="N377" s="49"/>
      <c r="O377" s="49"/>
      <c r="P377" s="49"/>
      <c r="Q377" s="49">
        <f>SUM(N377:P377)</f>
        <v>0</v>
      </c>
      <c r="R377" s="72"/>
      <c r="S377" s="49">
        <f>M377-Q377</f>
        <v>0</v>
      </c>
      <c r="T377" s="49">
        <v>1770000</v>
      </c>
      <c r="U377" s="49">
        <f>T377+M377</f>
        <v>1770000</v>
      </c>
      <c r="V377" s="49">
        <f>T377+S377</f>
        <v>1770000</v>
      </c>
      <c r="W377" s="49"/>
      <c r="X377" s="49"/>
      <c r="Y377" s="49"/>
      <c r="Z377" s="49"/>
      <c r="AA377" s="49">
        <v>1770000</v>
      </c>
      <c r="AB377" s="49">
        <v>3540000</v>
      </c>
      <c r="AC377" s="49">
        <f t="shared" si="103"/>
        <v>0</v>
      </c>
      <c r="AD377" s="49">
        <f>AA377+T377+M377</f>
        <v>3540000</v>
      </c>
      <c r="AE377" s="49">
        <v>0</v>
      </c>
      <c r="AF377" s="49">
        <v>0</v>
      </c>
      <c r="AG377" s="49">
        <f>1560000+960000</f>
        <v>2520000</v>
      </c>
      <c r="AH377" s="49"/>
      <c r="AI377" s="49"/>
      <c r="AJ377" s="49"/>
      <c r="AK377" s="49">
        <f>Z377+Y377+X377+W377+N377+AG377+AJ377+AI377+AH377</f>
        <v>2520000</v>
      </c>
      <c r="AL377" s="49">
        <f>AK377/AD377*100</f>
        <v>71.186440677966104</v>
      </c>
      <c r="AM377" s="49"/>
      <c r="AN377" s="49"/>
      <c r="AO377" s="49"/>
      <c r="AP377" s="49"/>
      <c r="AQ377" s="49">
        <f>AK377+AM377+AN377+AO377+AP377</f>
        <v>2520000</v>
      </c>
      <c r="AR377" s="49">
        <f>AQ377/AB377*100</f>
        <v>71.186440677966104</v>
      </c>
      <c r="AS377" s="49">
        <f t="shared" si="99"/>
        <v>1020000</v>
      </c>
      <c r="AT377" s="49">
        <v>3091500</v>
      </c>
      <c r="AU377" s="49">
        <f>AT377+U377</f>
        <v>4861500</v>
      </c>
      <c r="AV377" s="49">
        <f>AK377</f>
        <v>2520000</v>
      </c>
      <c r="AW377" s="72">
        <f>AV377/AU377*100</f>
        <v>51.835853131749467</v>
      </c>
      <c r="AX377" s="49">
        <f>AU377-AV377</f>
        <v>2341500</v>
      </c>
      <c r="AY377" s="49">
        <f t="shared" si="96"/>
        <v>28.8135593220339</v>
      </c>
      <c r="AZ377" s="73">
        <f t="shared" si="98"/>
        <v>2520000</v>
      </c>
    </row>
    <row r="378" spans="1:53" ht="20.100000000000001" hidden="1" customHeight="1">
      <c r="A378" s="68"/>
      <c r="B378" s="69"/>
      <c r="C378" s="240" t="s">
        <v>555</v>
      </c>
      <c r="D378" s="240"/>
      <c r="E378" s="241"/>
      <c r="F378" s="70"/>
      <c r="G378" s="71"/>
      <c r="H378" s="240" t="s">
        <v>143</v>
      </c>
      <c r="I378" s="240"/>
      <c r="J378" s="240"/>
      <c r="K378" s="241"/>
      <c r="L378" s="49"/>
      <c r="M378" s="49"/>
      <c r="N378" s="49"/>
      <c r="O378" s="49"/>
      <c r="P378" s="49"/>
      <c r="Q378" s="49"/>
      <c r="R378" s="72"/>
      <c r="S378" s="49"/>
      <c r="T378" s="49"/>
      <c r="U378" s="49"/>
      <c r="V378" s="49"/>
      <c r="W378" s="49"/>
      <c r="X378" s="49"/>
      <c r="Y378" s="49"/>
      <c r="Z378" s="49"/>
      <c r="AA378" s="49"/>
      <c r="AB378" s="49"/>
      <c r="AC378" s="49">
        <f t="shared" si="103"/>
        <v>0</v>
      </c>
      <c r="AD378" s="49"/>
      <c r="AE378" s="49"/>
      <c r="AF378" s="49"/>
      <c r="AG378" s="49"/>
      <c r="AH378" s="49"/>
      <c r="AI378" s="49"/>
      <c r="AJ378" s="49"/>
      <c r="AK378" s="49"/>
      <c r="AL378" s="49"/>
      <c r="AM378" s="49"/>
      <c r="AN378" s="49"/>
      <c r="AO378" s="49"/>
      <c r="AP378" s="49"/>
      <c r="AQ378" s="49"/>
      <c r="AR378" s="49"/>
      <c r="AS378" s="49"/>
      <c r="AT378" s="49"/>
      <c r="AU378" s="49"/>
      <c r="AV378" s="49"/>
      <c r="AW378" s="49"/>
      <c r="AX378" s="49"/>
      <c r="AY378" s="49"/>
      <c r="AZ378" s="73">
        <f t="shared" si="98"/>
        <v>0</v>
      </c>
    </row>
    <row r="379" spans="1:53" ht="20.100000000000001" hidden="1" customHeight="1">
      <c r="A379" s="68"/>
      <c r="B379" s="69"/>
      <c r="C379" s="240" t="s">
        <v>556</v>
      </c>
      <c r="D379" s="240"/>
      <c r="E379" s="241"/>
      <c r="F379" s="70"/>
      <c r="G379" s="71"/>
      <c r="H379" s="71"/>
      <c r="I379" s="240" t="s">
        <v>145</v>
      </c>
      <c r="J379" s="240"/>
      <c r="K379" s="241"/>
      <c r="L379" s="49"/>
      <c r="M379" s="49"/>
      <c r="N379" s="49"/>
      <c r="O379" s="49"/>
      <c r="P379" s="49"/>
      <c r="Q379" s="49"/>
      <c r="R379" s="72"/>
      <c r="S379" s="49"/>
      <c r="T379" s="49"/>
      <c r="U379" s="49"/>
      <c r="V379" s="49"/>
      <c r="W379" s="49"/>
      <c r="X379" s="49"/>
      <c r="Y379" s="49"/>
      <c r="Z379" s="49"/>
      <c r="AA379" s="49"/>
      <c r="AB379" s="49"/>
      <c r="AC379" s="49">
        <f t="shared" si="103"/>
        <v>0</v>
      </c>
      <c r="AD379" s="49"/>
      <c r="AE379" s="49"/>
      <c r="AF379" s="49"/>
      <c r="AG379" s="49"/>
      <c r="AH379" s="49"/>
      <c r="AI379" s="49"/>
      <c r="AJ379" s="49"/>
      <c r="AK379" s="49"/>
      <c r="AL379" s="49"/>
      <c r="AM379" s="49"/>
      <c r="AN379" s="49"/>
      <c r="AO379" s="49"/>
      <c r="AP379" s="49"/>
      <c r="AQ379" s="49"/>
      <c r="AR379" s="49"/>
      <c r="AS379" s="49"/>
      <c r="AT379" s="49"/>
      <c r="AU379" s="49"/>
      <c r="AV379" s="49"/>
      <c r="AW379" s="49"/>
      <c r="AX379" s="49"/>
      <c r="AY379" s="49"/>
      <c r="AZ379" s="73">
        <f t="shared" si="98"/>
        <v>0</v>
      </c>
    </row>
    <row r="380" spans="1:53" ht="20.100000000000001" hidden="1" customHeight="1">
      <c r="A380" s="68"/>
      <c r="B380" s="69"/>
      <c r="C380" s="240" t="s">
        <v>557</v>
      </c>
      <c r="D380" s="240"/>
      <c r="E380" s="241"/>
      <c r="F380" s="70"/>
      <c r="G380" s="71"/>
      <c r="H380" s="71"/>
      <c r="I380" s="71"/>
      <c r="J380" s="240" t="s">
        <v>147</v>
      </c>
      <c r="K380" s="241"/>
      <c r="L380" s="49">
        <v>2233000</v>
      </c>
      <c r="M380" s="49">
        <v>0</v>
      </c>
      <c r="N380" s="49"/>
      <c r="O380" s="49"/>
      <c r="P380" s="49"/>
      <c r="Q380" s="49">
        <f>SUM(N380:P380)</f>
        <v>0</v>
      </c>
      <c r="R380" s="72"/>
      <c r="S380" s="49">
        <f>M380-Q380</f>
        <v>0</v>
      </c>
      <c r="T380" s="49">
        <v>2233000</v>
      </c>
      <c r="U380" s="49">
        <f>T380+M380</f>
        <v>2233000</v>
      </c>
      <c r="V380" s="49">
        <f>T380+S380</f>
        <v>2233000</v>
      </c>
      <c r="W380" s="49"/>
      <c r="X380" s="49"/>
      <c r="Y380" s="49"/>
      <c r="Z380" s="49"/>
      <c r="AA380" s="49">
        <v>0</v>
      </c>
      <c r="AB380" s="49">
        <v>2233000</v>
      </c>
      <c r="AC380" s="49">
        <f t="shared" si="103"/>
        <v>0</v>
      </c>
      <c r="AD380" s="49">
        <f>AA380+T380+M380</f>
        <v>2233000</v>
      </c>
      <c r="AE380" s="49">
        <v>0</v>
      </c>
      <c r="AF380" s="49">
        <v>0</v>
      </c>
      <c r="AG380" s="49">
        <v>2233000</v>
      </c>
      <c r="AH380" s="49"/>
      <c r="AI380" s="49"/>
      <c r="AJ380" s="49"/>
      <c r="AK380" s="49">
        <f>Z380+Y380+X380+W380+N380+AG380+AJ380+AI380+AH380</f>
        <v>2233000</v>
      </c>
      <c r="AL380" s="49">
        <f>AK380/AD380*100</f>
        <v>100</v>
      </c>
      <c r="AM380" s="49"/>
      <c r="AN380" s="49"/>
      <c r="AO380" s="49"/>
      <c r="AP380" s="49"/>
      <c r="AQ380" s="49">
        <f>AK380+AM380+AN380+AO380+AP380</f>
        <v>2233000</v>
      </c>
      <c r="AR380" s="49">
        <f>AQ380/AB380*100</f>
        <v>100</v>
      </c>
      <c r="AS380" s="49">
        <f t="shared" si="99"/>
        <v>0</v>
      </c>
      <c r="AT380" s="49">
        <v>3091500</v>
      </c>
      <c r="AU380" s="49">
        <f>AT380+U380</f>
        <v>5324500</v>
      </c>
      <c r="AV380" s="49">
        <f>AK380</f>
        <v>2233000</v>
      </c>
      <c r="AW380" s="72">
        <f>AV380/AU380*100</f>
        <v>41.938210160578457</v>
      </c>
      <c r="AX380" s="49">
        <f>AU380-AV380</f>
        <v>3091500</v>
      </c>
      <c r="AY380" s="49">
        <f t="shared" si="96"/>
        <v>0</v>
      </c>
      <c r="AZ380" s="73">
        <f t="shared" si="98"/>
        <v>2233000</v>
      </c>
    </row>
    <row r="381" spans="1:53" ht="20.100000000000001" hidden="1" customHeight="1">
      <c r="A381" s="68"/>
      <c r="B381" s="69"/>
      <c r="C381" s="240" t="s">
        <v>558</v>
      </c>
      <c r="D381" s="240"/>
      <c r="E381" s="241"/>
      <c r="F381" s="70"/>
      <c r="G381" s="71"/>
      <c r="H381" s="71"/>
      <c r="I381" s="240" t="s">
        <v>163</v>
      </c>
      <c r="J381" s="240"/>
      <c r="K381" s="241"/>
      <c r="L381" s="49"/>
      <c r="M381" s="49"/>
      <c r="N381" s="49"/>
      <c r="O381" s="49"/>
      <c r="P381" s="49"/>
      <c r="Q381" s="49"/>
      <c r="R381" s="72"/>
      <c r="S381" s="49"/>
      <c r="T381" s="49"/>
      <c r="U381" s="49"/>
      <c r="V381" s="49"/>
      <c r="W381" s="49"/>
      <c r="X381" s="49"/>
      <c r="Y381" s="49"/>
      <c r="Z381" s="49"/>
      <c r="AA381" s="49"/>
      <c r="AB381" s="49"/>
      <c r="AC381" s="49">
        <f t="shared" si="103"/>
        <v>0</v>
      </c>
      <c r="AD381" s="49"/>
      <c r="AE381" s="49"/>
      <c r="AF381" s="49"/>
      <c r="AG381" s="49"/>
      <c r="AH381" s="49"/>
      <c r="AI381" s="49"/>
      <c r="AJ381" s="49"/>
      <c r="AK381" s="49"/>
      <c r="AL381" s="49"/>
      <c r="AM381" s="49"/>
      <c r="AN381" s="49"/>
      <c r="AO381" s="49"/>
      <c r="AP381" s="49"/>
      <c r="AQ381" s="49"/>
      <c r="AR381" s="49"/>
      <c r="AS381" s="49"/>
      <c r="AT381" s="49"/>
      <c r="AU381" s="49"/>
      <c r="AV381" s="49"/>
      <c r="AW381" s="49"/>
      <c r="AX381" s="49"/>
      <c r="AY381" s="49"/>
      <c r="AZ381" s="73">
        <f t="shared" si="98"/>
        <v>0</v>
      </c>
    </row>
    <row r="382" spans="1:53" ht="20.100000000000001" hidden="1" customHeight="1">
      <c r="A382" s="68"/>
      <c r="B382" s="69"/>
      <c r="C382" s="240" t="s">
        <v>559</v>
      </c>
      <c r="D382" s="240"/>
      <c r="E382" s="241"/>
      <c r="F382" s="70"/>
      <c r="G382" s="71"/>
      <c r="H382" s="71"/>
      <c r="I382" s="71"/>
      <c r="J382" s="240" t="s">
        <v>349</v>
      </c>
      <c r="K382" s="241"/>
      <c r="L382" s="49">
        <v>8570000</v>
      </c>
      <c r="M382" s="49">
        <v>0</v>
      </c>
      <c r="N382" s="49"/>
      <c r="O382" s="49"/>
      <c r="P382" s="49"/>
      <c r="Q382" s="49">
        <f>SUM(N382:P382)</f>
        <v>0</v>
      </c>
      <c r="R382" s="72"/>
      <c r="S382" s="49">
        <f>M382-Q382</f>
        <v>0</v>
      </c>
      <c r="T382" s="49">
        <v>0</v>
      </c>
      <c r="U382" s="49">
        <f>T382+M382</f>
        <v>0</v>
      </c>
      <c r="V382" s="49">
        <f>T382+S382</f>
        <v>0</v>
      </c>
      <c r="W382" s="49"/>
      <c r="X382" s="49"/>
      <c r="Y382" s="49"/>
      <c r="Z382" s="49"/>
      <c r="AA382" s="49">
        <v>8570000</v>
      </c>
      <c r="AB382" s="49">
        <v>8570000</v>
      </c>
      <c r="AC382" s="49">
        <f t="shared" si="103"/>
        <v>0</v>
      </c>
      <c r="AD382" s="49">
        <f>AA382+T382+M382</f>
        <v>8570000</v>
      </c>
      <c r="AE382" s="49">
        <v>0</v>
      </c>
      <c r="AF382" s="49">
        <v>0</v>
      </c>
      <c r="AG382" s="49">
        <v>8170000</v>
      </c>
      <c r="AH382" s="49"/>
      <c r="AI382" s="49"/>
      <c r="AJ382" s="49"/>
      <c r="AK382" s="49">
        <f>Z382+Y382+X382+W382+N382+AG382+AJ382+AI382+AH382</f>
        <v>8170000</v>
      </c>
      <c r="AL382" s="49">
        <f>AK382/AD382*100</f>
        <v>95.332555425904317</v>
      </c>
      <c r="AM382" s="49"/>
      <c r="AN382" s="49"/>
      <c r="AO382" s="49"/>
      <c r="AP382" s="49"/>
      <c r="AQ382" s="49">
        <f>AK382+AM382+AN382+AO382+AP382</f>
        <v>8170000</v>
      </c>
      <c r="AR382" s="49">
        <f>AQ382/AB382*100</f>
        <v>95.332555425904317</v>
      </c>
      <c r="AS382" s="49">
        <f t="shared" si="99"/>
        <v>400000</v>
      </c>
      <c r="AT382" s="49">
        <v>3091500</v>
      </c>
      <c r="AU382" s="49">
        <f>AT382+U382</f>
        <v>3091500</v>
      </c>
      <c r="AV382" s="49">
        <f>AK382</f>
        <v>8170000</v>
      </c>
      <c r="AW382" s="72">
        <f>AV382/AU382*100</f>
        <v>264.2730066310852</v>
      </c>
      <c r="AX382" s="49">
        <f>AU382-AV382</f>
        <v>-5078500</v>
      </c>
      <c r="AY382" s="49">
        <f t="shared" si="96"/>
        <v>4.6674445740956827</v>
      </c>
      <c r="AZ382" s="73">
        <f t="shared" si="98"/>
        <v>8170000</v>
      </c>
    </row>
    <row r="383" spans="1:53" ht="20.100000000000001" hidden="1" customHeight="1">
      <c r="A383" s="68"/>
      <c r="B383" s="69"/>
      <c r="C383" s="240" t="s">
        <v>560</v>
      </c>
      <c r="D383" s="240"/>
      <c r="E383" s="241"/>
      <c r="F383" s="70"/>
      <c r="G383" s="71"/>
      <c r="H383" s="71"/>
      <c r="I383" s="71"/>
      <c r="J383" s="240" t="s">
        <v>231</v>
      </c>
      <c r="K383" s="241"/>
      <c r="L383" s="49">
        <v>720000</v>
      </c>
      <c r="M383" s="49">
        <v>0</v>
      </c>
      <c r="N383" s="49"/>
      <c r="O383" s="49"/>
      <c r="P383" s="49"/>
      <c r="Q383" s="49">
        <f>SUM(N383:P383)</f>
        <v>0</v>
      </c>
      <c r="R383" s="72"/>
      <c r="S383" s="49">
        <f>M383-Q383</f>
        <v>0</v>
      </c>
      <c r="T383" s="49">
        <v>0</v>
      </c>
      <c r="U383" s="49">
        <f>T383+M383</f>
        <v>0</v>
      </c>
      <c r="V383" s="49">
        <f>T383+S383</f>
        <v>0</v>
      </c>
      <c r="W383" s="49"/>
      <c r="X383" s="49"/>
      <c r="Y383" s="49"/>
      <c r="Z383" s="49"/>
      <c r="AA383" s="49">
        <v>720000</v>
      </c>
      <c r="AB383" s="49">
        <v>720000</v>
      </c>
      <c r="AC383" s="49">
        <f t="shared" si="103"/>
        <v>0</v>
      </c>
      <c r="AD383" s="49">
        <f>AA383+T383+M383</f>
        <v>720000</v>
      </c>
      <c r="AE383" s="49">
        <v>0</v>
      </c>
      <c r="AF383" s="49">
        <v>0</v>
      </c>
      <c r="AG383" s="49">
        <v>200000</v>
      </c>
      <c r="AH383" s="49"/>
      <c r="AI383" s="49"/>
      <c r="AJ383" s="49"/>
      <c r="AK383" s="49">
        <f>Z383+Y383+X383+W383+N383+AG383+AJ383+AI383+AH383</f>
        <v>200000</v>
      </c>
      <c r="AL383" s="49">
        <f>AK383/AD383*100</f>
        <v>27.777777777777779</v>
      </c>
      <c r="AM383" s="49"/>
      <c r="AN383" s="49"/>
      <c r="AO383" s="49"/>
      <c r="AP383" s="49"/>
      <c r="AQ383" s="49">
        <f>AK383+AM383+AN383+AO383+AP383</f>
        <v>200000</v>
      </c>
      <c r="AR383" s="49">
        <f>AQ383/AB383*100</f>
        <v>27.777777777777779</v>
      </c>
      <c r="AS383" s="49">
        <f t="shared" si="99"/>
        <v>520000</v>
      </c>
      <c r="AT383" s="49">
        <v>3091500</v>
      </c>
      <c r="AU383" s="49">
        <f>AT383+U383</f>
        <v>3091500</v>
      </c>
      <c r="AV383" s="49">
        <f>AK383</f>
        <v>200000</v>
      </c>
      <c r="AW383" s="72">
        <f>AV383/AU383*100</f>
        <v>6.4693514475173863</v>
      </c>
      <c r="AX383" s="49">
        <f>AU383-AV383</f>
        <v>2891500</v>
      </c>
      <c r="AY383" s="49">
        <f t="shared" si="96"/>
        <v>72.222222222222214</v>
      </c>
      <c r="AZ383" s="73">
        <f t="shared" si="98"/>
        <v>200000</v>
      </c>
    </row>
    <row r="384" spans="1:53" ht="20.100000000000001" hidden="1" customHeight="1">
      <c r="A384" s="68"/>
      <c r="B384" s="69"/>
      <c r="C384" s="240" t="s">
        <v>561</v>
      </c>
      <c r="D384" s="240"/>
      <c r="E384" s="241"/>
      <c r="F384" s="70"/>
      <c r="G384" s="71"/>
      <c r="H384" s="71"/>
      <c r="I384" s="240" t="s">
        <v>151</v>
      </c>
      <c r="J384" s="240"/>
      <c r="K384" s="241"/>
      <c r="L384" s="49"/>
      <c r="M384" s="49"/>
      <c r="N384" s="49"/>
      <c r="O384" s="49"/>
      <c r="P384" s="49"/>
      <c r="Q384" s="49"/>
      <c r="R384" s="72"/>
      <c r="S384" s="49"/>
      <c r="T384" s="49"/>
      <c r="U384" s="49"/>
      <c r="V384" s="49"/>
      <c r="W384" s="49"/>
      <c r="X384" s="49"/>
      <c r="Y384" s="49"/>
      <c r="Z384" s="49"/>
      <c r="AA384" s="49"/>
      <c r="AB384" s="49"/>
      <c r="AC384" s="49">
        <f t="shared" si="103"/>
        <v>0</v>
      </c>
      <c r="AD384" s="49"/>
      <c r="AE384" s="49"/>
      <c r="AF384" s="49"/>
      <c r="AG384" s="49"/>
      <c r="AH384" s="49"/>
      <c r="AI384" s="49"/>
      <c r="AJ384" s="49"/>
      <c r="AK384" s="49"/>
      <c r="AL384" s="49"/>
      <c r="AM384" s="49"/>
      <c r="AN384" s="49"/>
      <c r="AO384" s="49"/>
      <c r="AP384" s="49"/>
      <c r="AQ384" s="49"/>
      <c r="AR384" s="49"/>
      <c r="AS384" s="49"/>
      <c r="AT384" s="49"/>
      <c r="AU384" s="49"/>
      <c r="AV384" s="49"/>
      <c r="AW384" s="49"/>
      <c r="AX384" s="49"/>
      <c r="AY384" s="49"/>
      <c r="AZ384" s="73">
        <f t="shared" si="98"/>
        <v>0</v>
      </c>
    </row>
    <row r="385" spans="1:54" ht="20.100000000000001" hidden="1" customHeight="1">
      <c r="A385" s="68"/>
      <c r="B385" s="69"/>
      <c r="C385" s="240" t="s">
        <v>562</v>
      </c>
      <c r="D385" s="240"/>
      <c r="E385" s="241"/>
      <c r="F385" s="70"/>
      <c r="G385" s="71"/>
      <c r="H385" s="71"/>
      <c r="I385" s="71"/>
      <c r="J385" s="240" t="s">
        <v>153</v>
      </c>
      <c r="K385" s="241"/>
      <c r="L385" s="49">
        <v>750000</v>
      </c>
      <c r="M385" s="49">
        <v>0</v>
      </c>
      <c r="N385" s="49"/>
      <c r="O385" s="49"/>
      <c r="P385" s="49"/>
      <c r="Q385" s="49">
        <f>SUM(N385:P385)</f>
        <v>0</v>
      </c>
      <c r="R385" s="72"/>
      <c r="S385" s="49">
        <f>M385-Q385</f>
        <v>0</v>
      </c>
      <c r="T385" s="49">
        <v>750000</v>
      </c>
      <c r="U385" s="49">
        <f>T385+M385</f>
        <v>750000</v>
      </c>
      <c r="V385" s="49">
        <f>T385+S385</f>
        <v>750000</v>
      </c>
      <c r="W385" s="49"/>
      <c r="X385" s="49"/>
      <c r="Y385" s="49"/>
      <c r="Z385" s="49"/>
      <c r="AA385" s="49">
        <v>0</v>
      </c>
      <c r="AB385" s="49">
        <v>750000</v>
      </c>
      <c r="AC385" s="49">
        <f t="shared" si="103"/>
        <v>0</v>
      </c>
      <c r="AD385" s="49">
        <f>AA385+T385+M385</f>
        <v>750000</v>
      </c>
      <c r="AE385" s="49">
        <v>0</v>
      </c>
      <c r="AF385" s="49">
        <v>0</v>
      </c>
      <c r="AG385" s="49">
        <v>750000</v>
      </c>
      <c r="AH385" s="49"/>
      <c r="AI385" s="49"/>
      <c r="AJ385" s="49"/>
      <c r="AK385" s="49">
        <f>Z385+Y385+X385+W385+N385+AG385+AJ385+AI385+AH385</f>
        <v>750000</v>
      </c>
      <c r="AL385" s="49">
        <f>AK385/AD385*100</f>
        <v>100</v>
      </c>
      <c r="AM385" s="49"/>
      <c r="AN385" s="49"/>
      <c r="AO385" s="49"/>
      <c r="AP385" s="49"/>
      <c r="AQ385" s="49">
        <f>AK385+AM385+AN385+AO385+AP385</f>
        <v>750000</v>
      </c>
      <c r="AR385" s="49">
        <f>AQ385/AB385*100</f>
        <v>100</v>
      </c>
      <c r="AS385" s="49">
        <f t="shared" si="99"/>
        <v>0</v>
      </c>
      <c r="AT385" s="49">
        <v>3091500</v>
      </c>
      <c r="AU385" s="49">
        <f>AT385+U385</f>
        <v>3841500</v>
      </c>
      <c r="AV385" s="49">
        <f>AK385</f>
        <v>750000</v>
      </c>
      <c r="AW385" s="72">
        <f>AV385/AU385*100</f>
        <v>19.52362358453729</v>
      </c>
      <c r="AX385" s="49">
        <f>AU385-AV385</f>
        <v>3091500</v>
      </c>
      <c r="AY385" s="49">
        <f t="shared" si="96"/>
        <v>0</v>
      </c>
      <c r="AZ385" s="73">
        <f t="shared" si="98"/>
        <v>750000</v>
      </c>
    </row>
    <row r="386" spans="1:54" ht="20.100000000000001" hidden="1" customHeight="1">
      <c r="A386" s="68"/>
      <c r="B386" s="69"/>
      <c r="C386" s="240" t="s">
        <v>563</v>
      </c>
      <c r="D386" s="240"/>
      <c r="E386" s="241"/>
      <c r="F386" s="70"/>
      <c r="G386" s="71"/>
      <c r="H386" s="71"/>
      <c r="I386" s="71"/>
      <c r="J386" s="240" t="s">
        <v>155</v>
      </c>
      <c r="K386" s="241"/>
      <c r="L386" s="49">
        <v>1767000</v>
      </c>
      <c r="M386" s="49">
        <v>0</v>
      </c>
      <c r="N386" s="49"/>
      <c r="O386" s="49"/>
      <c r="P386" s="49"/>
      <c r="Q386" s="49">
        <f>SUM(N386:P386)</f>
        <v>0</v>
      </c>
      <c r="R386" s="72"/>
      <c r="S386" s="49">
        <f>M386-Q386</f>
        <v>0</v>
      </c>
      <c r="T386" s="49">
        <v>0</v>
      </c>
      <c r="U386" s="49">
        <f>T386+M386</f>
        <v>0</v>
      </c>
      <c r="V386" s="49">
        <f>T386+S386</f>
        <v>0</v>
      </c>
      <c r="W386" s="49"/>
      <c r="X386" s="49"/>
      <c r="Y386" s="49"/>
      <c r="Z386" s="49"/>
      <c r="AA386" s="49">
        <v>1767000</v>
      </c>
      <c r="AB386" s="49">
        <v>1767000</v>
      </c>
      <c r="AC386" s="49">
        <f t="shared" si="103"/>
        <v>0</v>
      </c>
      <c r="AD386" s="49">
        <f>AA386+T386+M386</f>
        <v>1767000</v>
      </c>
      <c r="AE386" s="49">
        <v>0</v>
      </c>
      <c r="AF386" s="49">
        <v>0</v>
      </c>
      <c r="AG386" s="49">
        <v>1764000</v>
      </c>
      <c r="AH386" s="49"/>
      <c r="AI386" s="49"/>
      <c r="AJ386" s="49"/>
      <c r="AK386" s="49">
        <f>Z386+Y386+X386+W386+N386+AG386+AJ386+AI386+AH386</f>
        <v>1764000</v>
      </c>
      <c r="AL386" s="49">
        <f>AK386/AD386*100</f>
        <v>99.830220713073004</v>
      </c>
      <c r="AM386" s="49"/>
      <c r="AN386" s="49"/>
      <c r="AO386" s="49"/>
      <c r="AP386" s="49"/>
      <c r="AQ386" s="49">
        <f>AK386+AM386+AN386+AO386+AP386</f>
        <v>1764000</v>
      </c>
      <c r="AR386" s="49">
        <f>AQ386/AB386*100</f>
        <v>99.830220713073004</v>
      </c>
      <c r="AS386" s="49">
        <f t="shared" si="99"/>
        <v>3000</v>
      </c>
      <c r="AT386" s="49">
        <v>3091500</v>
      </c>
      <c r="AU386" s="49">
        <f>AT386+U386</f>
        <v>3091500</v>
      </c>
      <c r="AV386" s="49">
        <f>AK386</f>
        <v>1764000</v>
      </c>
      <c r="AW386" s="72">
        <f>AV386/AU386*100</f>
        <v>57.059679767103347</v>
      </c>
      <c r="AX386" s="49">
        <f>AU386-AV386</f>
        <v>1327500</v>
      </c>
      <c r="AY386" s="49">
        <f t="shared" si="96"/>
        <v>0.1697792869269949</v>
      </c>
      <c r="AZ386" s="73">
        <f t="shared" si="98"/>
        <v>1764000</v>
      </c>
    </row>
    <row r="387" spans="1:54" ht="20.100000000000001" hidden="1" customHeight="1">
      <c r="A387" s="68"/>
      <c r="B387" s="69"/>
      <c r="C387" s="240" t="s">
        <v>564</v>
      </c>
      <c r="D387" s="240"/>
      <c r="E387" s="241"/>
      <c r="F387" s="70"/>
      <c r="G387" s="71"/>
      <c r="H387" s="71"/>
      <c r="I387" s="240" t="s">
        <v>565</v>
      </c>
      <c r="J387" s="240"/>
      <c r="K387" s="241"/>
      <c r="L387" s="49"/>
      <c r="M387" s="49"/>
      <c r="N387" s="49"/>
      <c r="O387" s="49"/>
      <c r="P387" s="49"/>
      <c r="Q387" s="49"/>
      <c r="R387" s="72"/>
      <c r="S387" s="49"/>
      <c r="T387" s="49"/>
      <c r="U387" s="49"/>
      <c r="V387" s="49"/>
      <c r="W387" s="49"/>
      <c r="X387" s="49"/>
      <c r="Y387" s="49"/>
      <c r="Z387" s="49"/>
      <c r="AA387" s="49"/>
      <c r="AB387" s="49"/>
      <c r="AC387" s="49">
        <f t="shared" si="103"/>
        <v>0</v>
      </c>
      <c r="AD387" s="49"/>
      <c r="AE387" s="49"/>
      <c r="AF387" s="49"/>
      <c r="AG387" s="49"/>
      <c r="AH387" s="49"/>
      <c r="AI387" s="49"/>
      <c r="AJ387" s="49"/>
      <c r="AK387" s="49"/>
      <c r="AL387" s="49"/>
      <c r="AM387" s="49"/>
      <c r="AN387" s="49"/>
      <c r="AO387" s="49"/>
      <c r="AP387" s="49"/>
      <c r="AQ387" s="49"/>
      <c r="AR387" s="49"/>
      <c r="AS387" s="49"/>
      <c r="AT387" s="49"/>
      <c r="AU387" s="49"/>
      <c r="AV387" s="49"/>
      <c r="AW387" s="49"/>
      <c r="AX387" s="49"/>
      <c r="AY387" s="49"/>
      <c r="AZ387" s="73">
        <f t="shared" si="98"/>
        <v>0</v>
      </c>
    </row>
    <row r="388" spans="1:54" ht="20.100000000000001" hidden="1" customHeight="1">
      <c r="A388" s="68"/>
      <c r="B388" s="69"/>
      <c r="C388" s="240" t="s">
        <v>566</v>
      </c>
      <c r="D388" s="240"/>
      <c r="E388" s="241"/>
      <c r="F388" s="70"/>
      <c r="G388" s="71"/>
      <c r="H388" s="71"/>
      <c r="I388" s="71"/>
      <c r="J388" s="240" t="s">
        <v>567</v>
      </c>
      <c r="K388" s="241"/>
      <c r="L388" s="49">
        <v>850000</v>
      </c>
      <c r="M388" s="49">
        <v>0</v>
      </c>
      <c r="N388" s="49"/>
      <c r="O388" s="49"/>
      <c r="P388" s="49"/>
      <c r="Q388" s="49">
        <f>SUM(N388:P388)</f>
        <v>0</v>
      </c>
      <c r="R388" s="72"/>
      <c r="S388" s="49">
        <f>M388-Q388</f>
        <v>0</v>
      </c>
      <c r="T388" s="49">
        <v>0</v>
      </c>
      <c r="U388" s="49">
        <f>T388+M388</f>
        <v>0</v>
      </c>
      <c r="V388" s="49">
        <f>T388+S388</f>
        <v>0</v>
      </c>
      <c r="W388" s="49"/>
      <c r="X388" s="49"/>
      <c r="Y388" s="49"/>
      <c r="Z388" s="49"/>
      <c r="AA388" s="49">
        <v>850000</v>
      </c>
      <c r="AB388" s="49">
        <v>850000</v>
      </c>
      <c r="AC388" s="49">
        <f t="shared" si="103"/>
        <v>0</v>
      </c>
      <c r="AD388" s="49">
        <f>AA388+T388+M388</f>
        <v>850000</v>
      </c>
      <c r="AE388" s="49"/>
      <c r="AF388" s="49"/>
      <c r="AG388" s="49"/>
      <c r="AH388" s="49"/>
      <c r="AI388" s="49"/>
      <c r="AJ388" s="49"/>
      <c r="AK388" s="49">
        <f>Z388+Y388+X388+W388+N388+AG388+AJ388+AI388+AH388</f>
        <v>0</v>
      </c>
      <c r="AL388" s="49">
        <f>AK388/AD388*100</f>
        <v>0</v>
      </c>
      <c r="AM388" s="49"/>
      <c r="AN388" s="49"/>
      <c r="AO388" s="49"/>
      <c r="AP388" s="49"/>
      <c r="AQ388" s="49">
        <f>AK388+AL388+AM388+AN388+AO388+AP388</f>
        <v>0</v>
      </c>
      <c r="AR388" s="49"/>
      <c r="AS388" s="49">
        <f t="shared" si="99"/>
        <v>850000</v>
      </c>
      <c r="AT388" s="49">
        <v>3091500</v>
      </c>
      <c r="AU388" s="49">
        <f>AT388+U388</f>
        <v>3091500</v>
      </c>
      <c r="AV388" s="49">
        <f>AK388</f>
        <v>0</v>
      </c>
      <c r="AW388" s="72">
        <f>AV388/AU388*100</f>
        <v>0</v>
      </c>
      <c r="AX388" s="49">
        <f>AU388-AV388</f>
        <v>3091500</v>
      </c>
      <c r="AY388" s="49">
        <f t="shared" si="96"/>
        <v>100</v>
      </c>
      <c r="AZ388" s="73">
        <f t="shared" si="98"/>
        <v>0</v>
      </c>
    </row>
    <row r="389" spans="1:54" ht="20.100000000000001" hidden="1" customHeight="1">
      <c r="A389" s="68"/>
      <c r="B389" s="69"/>
      <c r="C389" s="240" t="s">
        <v>568</v>
      </c>
      <c r="D389" s="240"/>
      <c r="E389" s="241"/>
      <c r="F389" s="70"/>
      <c r="G389" s="71"/>
      <c r="H389" s="71"/>
      <c r="I389" s="71"/>
      <c r="J389" s="240" t="s">
        <v>569</v>
      </c>
      <c r="K389" s="241"/>
      <c r="L389" s="49">
        <v>64000000</v>
      </c>
      <c r="M389" s="49">
        <v>0</v>
      </c>
      <c r="N389" s="49"/>
      <c r="O389" s="49"/>
      <c r="P389" s="49"/>
      <c r="Q389" s="49">
        <f>SUM(N389:P389)</f>
        <v>0</v>
      </c>
      <c r="R389" s="72"/>
      <c r="S389" s="49">
        <f>M389-Q389</f>
        <v>0</v>
      </c>
      <c r="T389" s="49">
        <v>0</v>
      </c>
      <c r="U389" s="49">
        <f>T389+M389</f>
        <v>0</v>
      </c>
      <c r="V389" s="49">
        <f>T389+S389</f>
        <v>0</v>
      </c>
      <c r="W389" s="49"/>
      <c r="X389" s="49"/>
      <c r="Y389" s="49"/>
      <c r="Z389" s="49"/>
      <c r="AA389" s="49">
        <v>64000000</v>
      </c>
      <c r="AB389" s="49">
        <v>64000000</v>
      </c>
      <c r="AC389" s="49">
        <f t="shared" si="103"/>
        <v>0</v>
      </c>
      <c r="AD389" s="49">
        <f>AA389+T389+M389</f>
        <v>64000000</v>
      </c>
      <c r="AE389" s="49">
        <v>0</v>
      </c>
      <c r="AF389" s="49">
        <f>25000000+22500000</f>
        <v>47500000</v>
      </c>
      <c r="AG389" s="49">
        <f>2000000</f>
        <v>2000000</v>
      </c>
      <c r="AH389" s="49"/>
      <c r="AI389" s="49"/>
      <c r="AJ389" s="49"/>
      <c r="AK389" s="49">
        <f>Z389+Y389+X389+W389+N389+AG389+AE389+AJ389+AI389+AH389+AF389</f>
        <v>49500000</v>
      </c>
      <c r="AL389" s="49">
        <f>AK389/AD389*100</f>
        <v>77.34375</v>
      </c>
      <c r="AM389" s="49"/>
      <c r="AN389" s="49"/>
      <c r="AO389" s="49"/>
      <c r="AP389" s="49"/>
      <c r="AQ389" s="49">
        <f>AK389+AM389+AN389+AO389+AP389</f>
        <v>49500000</v>
      </c>
      <c r="AR389" s="49">
        <f>AQ389/AB389*100</f>
        <v>77.34375</v>
      </c>
      <c r="AS389" s="49">
        <f t="shared" si="99"/>
        <v>14500000</v>
      </c>
      <c r="AT389" s="49">
        <v>3091500</v>
      </c>
      <c r="AU389" s="49">
        <f>AT389+U389</f>
        <v>3091500</v>
      </c>
      <c r="AV389" s="49">
        <f>AK389</f>
        <v>49500000</v>
      </c>
      <c r="AW389" s="72">
        <f>AV389/AU389*100</f>
        <v>1601.164483260553</v>
      </c>
      <c r="AX389" s="49">
        <f>AU389-AV389</f>
        <v>-46408500</v>
      </c>
      <c r="AY389" s="49">
        <f t="shared" si="96"/>
        <v>22.65625</v>
      </c>
      <c r="AZ389" s="73">
        <f t="shared" si="98"/>
        <v>49500000</v>
      </c>
    </row>
    <row r="390" spans="1:54" ht="20.100000000000001" hidden="1" customHeight="1">
      <c r="A390" s="68"/>
      <c r="B390" s="69"/>
      <c r="C390" s="240" t="s">
        <v>570</v>
      </c>
      <c r="D390" s="240"/>
      <c r="E390" s="241"/>
      <c r="F390" s="70"/>
      <c r="G390" s="71"/>
      <c r="H390" s="71"/>
      <c r="I390" s="240" t="s">
        <v>193</v>
      </c>
      <c r="J390" s="240"/>
      <c r="K390" s="241"/>
      <c r="L390" s="49"/>
      <c r="M390" s="49"/>
      <c r="N390" s="49"/>
      <c r="O390" s="49"/>
      <c r="P390" s="49"/>
      <c r="Q390" s="49"/>
      <c r="R390" s="72"/>
      <c r="S390" s="49"/>
      <c r="T390" s="49"/>
      <c r="U390" s="49">
        <f>T390+M390</f>
        <v>0</v>
      </c>
      <c r="V390" s="49">
        <f>T390+S390</f>
        <v>0</v>
      </c>
      <c r="W390" s="49"/>
      <c r="X390" s="49"/>
      <c r="Y390" s="49"/>
      <c r="Z390" s="49"/>
      <c r="AA390" s="49"/>
      <c r="AB390" s="49"/>
      <c r="AC390" s="49">
        <f t="shared" si="103"/>
        <v>0</v>
      </c>
      <c r="AD390" s="49"/>
      <c r="AE390" s="49"/>
      <c r="AF390" s="49"/>
      <c r="AG390" s="77"/>
      <c r="AH390" s="49"/>
      <c r="AI390" s="77"/>
      <c r="AJ390" s="77"/>
      <c r="AK390" s="49"/>
      <c r="AL390" s="49" t="s">
        <v>48</v>
      </c>
      <c r="AM390" s="49"/>
      <c r="AN390" s="49"/>
      <c r="AO390" s="49"/>
      <c r="AP390" s="49"/>
      <c r="AQ390" s="49"/>
      <c r="AR390" s="49"/>
      <c r="AS390" s="49"/>
      <c r="AT390" s="49"/>
      <c r="AU390" s="49"/>
      <c r="AV390" s="49"/>
      <c r="AW390" s="49"/>
      <c r="AX390" s="49"/>
      <c r="AY390" s="49"/>
      <c r="AZ390" s="73">
        <f t="shared" si="98"/>
        <v>0</v>
      </c>
    </row>
    <row r="391" spans="1:54" ht="20.100000000000001" hidden="1" customHeight="1">
      <c r="A391" s="68"/>
      <c r="B391" s="69"/>
      <c r="C391" s="240" t="s">
        <v>571</v>
      </c>
      <c r="D391" s="240"/>
      <c r="E391" s="241"/>
      <c r="F391" s="70"/>
      <c r="G391" s="71"/>
      <c r="H391" s="71"/>
      <c r="I391" s="71"/>
      <c r="J391" s="240" t="s">
        <v>312</v>
      </c>
      <c r="K391" s="241"/>
      <c r="L391" s="49">
        <v>6730000</v>
      </c>
      <c r="M391" s="49">
        <v>0</v>
      </c>
      <c r="N391" s="49"/>
      <c r="O391" s="49"/>
      <c r="P391" s="49"/>
      <c r="Q391" s="49">
        <f>SUM(N391:P391)</f>
        <v>0</v>
      </c>
      <c r="R391" s="72"/>
      <c r="S391" s="49">
        <f>M391-Q391</f>
        <v>0</v>
      </c>
      <c r="T391" s="49">
        <v>0</v>
      </c>
      <c r="U391" s="49">
        <f>T391+M391</f>
        <v>0</v>
      </c>
      <c r="V391" s="49">
        <f>T391+S391</f>
        <v>0</v>
      </c>
      <c r="W391" s="49"/>
      <c r="X391" s="49"/>
      <c r="Y391" s="49"/>
      <c r="Z391" s="49"/>
      <c r="AA391" s="49">
        <v>6730000</v>
      </c>
      <c r="AB391" s="49">
        <v>6730000</v>
      </c>
      <c r="AC391" s="49">
        <f t="shared" si="103"/>
        <v>0</v>
      </c>
      <c r="AD391" s="49">
        <f>AA391+T391+M391</f>
        <v>6730000</v>
      </c>
      <c r="AE391" s="49">
        <v>0</v>
      </c>
      <c r="AF391" s="49">
        <v>0</v>
      </c>
      <c r="AG391" s="49">
        <v>6520000</v>
      </c>
      <c r="AH391" s="49"/>
      <c r="AI391" s="49"/>
      <c r="AJ391" s="49"/>
      <c r="AK391" s="49">
        <f>Z391+Y391+X391+W391+N391+AG391+AJ391+AI391+AH391</f>
        <v>6520000</v>
      </c>
      <c r="AL391" s="49">
        <f>AK391/AD391*100</f>
        <v>96.879643387815747</v>
      </c>
      <c r="AM391" s="49"/>
      <c r="AN391" s="49"/>
      <c r="AO391" s="49"/>
      <c r="AP391" s="49"/>
      <c r="AQ391" s="49">
        <f>AK391+AM391+AN391+AO391+AP391</f>
        <v>6520000</v>
      </c>
      <c r="AR391" s="49">
        <f>AQ391/AB391*100</f>
        <v>96.879643387815747</v>
      </c>
      <c r="AS391" s="49">
        <f t="shared" si="99"/>
        <v>210000</v>
      </c>
      <c r="AT391" s="49">
        <v>3091500</v>
      </c>
      <c r="AU391" s="49">
        <f>AT391+U391</f>
        <v>3091500</v>
      </c>
      <c r="AV391" s="49">
        <f>AK391</f>
        <v>6520000</v>
      </c>
      <c r="AW391" s="72">
        <f>AV391/AU391*100</f>
        <v>210.90085718906678</v>
      </c>
      <c r="AX391" s="49">
        <f>AU391-AV391</f>
        <v>-3428500</v>
      </c>
      <c r="AY391" s="49">
        <f t="shared" si="96"/>
        <v>3.1203566121842496</v>
      </c>
      <c r="AZ391" s="73">
        <f t="shared" si="98"/>
        <v>6520000</v>
      </c>
    </row>
    <row r="392" spans="1:54" ht="20.100000000000001" hidden="1" customHeight="1">
      <c r="A392" s="68"/>
      <c r="B392" s="69"/>
      <c r="C392" s="240" t="s">
        <v>572</v>
      </c>
      <c r="D392" s="240"/>
      <c r="E392" s="241"/>
      <c r="F392" s="70"/>
      <c r="G392" s="71"/>
      <c r="H392" s="71"/>
      <c r="I392" s="240" t="s">
        <v>157</v>
      </c>
      <c r="J392" s="240"/>
      <c r="K392" s="241"/>
      <c r="L392" s="49"/>
      <c r="M392" s="49"/>
      <c r="N392" s="49"/>
      <c r="O392" s="49"/>
      <c r="P392" s="49"/>
      <c r="Q392" s="49"/>
      <c r="R392" s="72"/>
      <c r="S392" s="49"/>
      <c r="T392" s="49"/>
      <c r="U392" s="49"/>
      <c r="V392" s="49"/>
      <c r="W392" s="49"/>
      <c r="X392" s="49"/>
      <c r="Y392" s="49"/>
      <c r="Z392" s="49"/>
      <c r="AA392" s="49"/>
      <c r="AB392" s="49"/>
      <c r="AC392" s="49">
        <f t="shared" si="103"/>
        <v>0</v>
      </c>
      <c r="AD392" s="49"/>
      <c r="AE392" s="49"/>
      <c r="AF392" s="49"/>
      <c r="AG392" s="49"/>
      <c r="AH392" s="49"/>
      <c r="AI392" s="49"/>
      <c r="AJ392" s="49"/>
      <c r="AK392" s="49"/>
      <c r="AL392" s="49"/>
      <c r="AM392" s="49"/>
      <c r="AN392" s="49"/>
      <c r="AO392" s="49"/>
      <c r="AP392" s="49"/>
      <c r="AQ392" s="49"/>
      <c r="AR392" s="49"/>
      <c r="AS392" s="49"/>
      <c r="AT392" s="49"/>
      <c r="AU392" s="49"/>
      <c r="AV392" s="49"/>
      <c r="AW392" s="49"/>
      <c r="AX392" s="49"/>
      <c r="AY392" s="49"/>
      <c r="AZ392" s="73">
        <f t="shared" si="98"/>
        <v>0</v>
      </c>
    </row>
    <row r="393" spans="1:54" ht="20.100000000000001" hidden="1" customHeight="1">
      <c r="A393" s="68"/>
      <c r="B393" s="69"/>
      <c r="C393" s="240" t="s">
        <v>573</v>
      </c>
      <c r="D393" s="240"/>
      <c r="E393" s="241"/>
      <c r="F393" s="70"/>
      <c r="G393" s="71"/>
      <c r="H393" s="71"/>
      <c r="I393" s="71"/>
      <c r="J393" s="240" t="s">
        <v>159</v>
      </c>
      <c r="K393" s="241"/>
      <c r="L393" s="49">
        <v>10080000</v>
      </c>
      <c r="M393" s="49">
        <v>3360000</v>
      </c>
      <c r="N393" s="49"/>
      <c r="O393" s="49"/>
      <c r="P393" s="49"/>
      <c r="Q393" s="49">
        <f>SUM(N393:P393)</f>
        <v>0</v>
      </c>
      <c r="R393" s="72">
        <f>Q393/M393*100</f>
        <v>0</v>
      </c>
      <c r="S393" s="49">
        <f>M393-Q393</f>
        <v>3360000</v>
      </c>
      <c r="T393" s="49">
        <v>3360000</v>
      </c>
      <c r="U393" s="49">
        <f>T393+M393</f>
        <v>6720000</v>
      </c>
      <c r="V393" s="49">
        <f>T393+S393</f>
        <v>6720000</v>
      </c>
      <c r="W393" s="49"/>
      <c r="X393" s="49"/>
      <c r="Y393" s="49"/>
      <c r="Z393" s="49"/>
      <c r="AA393" s="49">
        <v>3360000</v>
      </c>
      <c r="AB393" s="49">
        <v>10080000</v>
      </c>
      <c r="AC393" s="49">
        <f t="shared" si="103"/>
        <v>0</v>
      </c>
      <c r="AD393" s="49">
        <f>AA393+T393+M393</f>
        <v>10080000</v>
      </c>
      <c r="AE393" s="49"/>
      <c r="AF393" s="49"/>
      <c r="AG393" s="49"/>
      <c r="AH393" s="49"/>
      <c r="AI393" s="49"/>
      <c r="AJ393" s="49"/>
      <c r="AK393" s="49">
        <f>Z393+Y393+X393+W393+N393+AG393+AJ393+AI393+AH393</f>
        <v>0</v>
      </c>
      <c r="AL393" s="49">
        <f>AK393/AD393*100</f>
        <v>0</v>
      </c>
      <c r="AM393" s="49"/>
      <c r="AN393" s="49"/>
      <c r="AO393" s="49"/>
      <c r="AP393" s="49"/>
      <c r="AQ393" s="49">
        <f>AK393+AM393+AN393+AO393+AP393</f>
        <v>0</v>
      </c>
      <c r="AR393" s="49">
        <f>AQ393/AB393*100</f>
        <v>0</v>
      </c>
      <c r="AS393" s="49">
        <f t="shared" si="99"/>
        <v>10080000</v>
      </c>
      <c r="AT393" s="49">
        <v>3091500</v>
      </c>
      <c r="AU393" s="49">
        <f>AT393+U393</f>
        <v>9811500</v>
      </c>
      <c r="AV393" s="49">
        <f>AK393</f>
        <v>0</v>
      </c>
      <c r="AW393" s="72">
        <f>AV393/AU393*100</f>
        <v>0</v>
      </c>
      <c r="AX393" s="49">
        <f>AU393-AV393</f>
        <v>9811500</v>
      </c>
      <c r="AY393" s="49">
        <f t="shared" si="96"/>
        <v>100</v>
      </c>
      <c r="AZ393" s="73">
        <f t="shared" si="98"/>
        <v>0</v>
      </c>
      <c r="BB393" s="29">
        <f>AS393</f>
        <v>10080000</v>
      </c>
    </row>
    <row r="394" spans="1:54" ht="20.100000000000001" hidden="1" customHeight="1">
      <c r="A394" s="68"/>
      <c r="B394" s="69"/>
      <c r="C394" s="240" t="s">
        <v>574</v>
      </c>
      <c r="D394" s="240"/>
      <c r="E394" s="241"/>
      <c r="F394" s="70"/>
      <c r="G394" s="71"/>
      <c r="H394" s="71"/>
      <c r="I394" s="71"/>
      <c r="J394" s="240" t="s">
        <v>207</v>
      </c>
      <c r="K394" s="241"/>
      <c r="L394" s="49">
        <v>20760000</v>
      </c>
      <c r="M394" s="49">
        <v>20760000</v>
      </c>
      <c r="N394" s="49">
        <v>0</v>
      </c>
      <c r="O394" s="49"/>
      <c r="P394" s="49"/>
      <c r="Q394" s="49">
        <f>SUM(N394:P394)</f>
        <v>0</v>
      </c>
      <c r="R394" s="72">
        <f>Q394/M394*100</f>
        <v>0</v>
      </c>
      <c r="S394" s="49">
        <f>M394-Q394</f>
        <v>20760000</v>
      </c>
      <c r="T394" s="49">
        <v>0</v>
      </c>
      <c r="U394" s="49">
        <f>T394+M394</f>
        <v>20760000</v>
      </c>
      <c r="V394" s="49">
        <f>T394+S394</f>
        <v>20760000</v>
      </c>
      <c r="W394" s="49"/>
      <c r="X394" s="49">
        <v>20760000</v>
      </c>
      <c r="Y394" s="49"/>
      <c r="Z394" s="49"/>
      <c r="AA394" s="49">
        <v>0</v>
      </c>
      <c r="AB394" s="49">
        <v>20760000</v>
      </c>
      <c r="AC394" s="49">
        <f t="shared" si="103"/>
        <v>0</v>
      </c>
      <c r="AD394" s="49">
        <f>AA394+T394+M394</f>
        <v>20760000</v>
      </c>
      <c r="AE394" s="49">
        <v>0</v>
      </c>
      <c r="AF394" s="49">
        <v>0</v>
      </c>
      <c r="AG394" s="49">
        <v>0</v>
      </c>
      <c r="AH394" s="49"/>
      <c r="AI394" s="49"/>
      <c r="AJ394" s="49"/>
      <c r="AK394" s="49">
        <f>Z394+Y394+X394+W394+N394+AG394+AJ394+AI394+AH394</f>
        <v>20760000</v>
      </c>
      <c r="AL394" s="49">
        <f>AK394/AD394*100</f>
        <v>100</v>
      </c>
      <c r="AM394" s="49"/>
      <c r="AN394" s="49"/>
      <c r="AO394" s="49"/>
      <c r="AP394" s="49"/>
      <c r="AQ394" s="49">
        <f>AK394+AM394+AN394+AO394+AP394</f>
        <v>20760000</v>
      </c>
      <c r="AR394" s="49">
        <f>AQ394/AB394*100</f>
        <v>100</v>
      </c>
      <c r="AS394" s="49">
        <f t="shared" si="99"/>
        <v>0</v>
      </c>
      <c r="AT394" s="49">
        <v>3091500</v>
      </c>
      <c r="AU394" s="49">
        <f>AT394+U394</f>
        <v>23851500</v>
      </c>
      <c r="AV394" s="49">
        <f>AK394</f>
        <v>20760000</v>
      </c>
      <c r="AW394" s="72">
        <f>AV394/AU394*100</f>
        <v>87.038551034526137</v>
      </c>
      <c r="AX394" s="49">
        <f>AU394-AV394</f>
        <v>3091500</v>
      </c>
      <c r="AY394" s="49">
        <f t="shared" si="96"/>
        <v>0</v>
      </c>
      <c r="AZ394" s="73">
        <f t="shared" si="98"/>
        <v>20760000</v>
      </c>
    </row>
    <row r="395" spans="1:54" ht="20.100000000000001" customHeight="1">
      <c r="A395" s="62">
        <v>26</v>
      </c>
      <c r="B395" s="63"/>
      <c r="C395" s="242" t="s">
        <v>575</v>
      </c>
      <c r="D395" s="242"/>
      <c r="E395" s="243"/>
      <c r="F395" s="64"/>
      <c r="G395" s="244" t="s">
        <v>576</v>
      </c>
      <c r="H395" s="244"/>
      <c r="I395" s="244"/>
      <c r="J395" s="244"/>
      <c r="K395" s="245"/>
      <c r="L395" s="65">
        <f>SUM(L398:L415)</f>
        <v>257000000</v>
      </c>
      <c r="M395" s="65">
        <f>SUM(M398:M415)</f>
        <v>19400000</v>
      </c>
      <c r="N395" s="65">
        <f>SUM(N398:N415)</f>
        <v>0</v>
      </c>
      <c r="O395" s="65">
        <f>SUM(O398:O415)</f>
        <v>0</v>
      </c>
      <c r="P395" s="65">
        <f>SUM(P398:P415)</f>
        <v>0</v>
      </c>
      <c r="Q395" s="65">
        <f>SUM(N395:P395)</f>
        <v>0</v>
      </c>
      <c r="R395" s="66">
        <f>Q395/M395*100</f>
        <v>0</v>
      </c>
      <c r="S395" s="65">
        <f>M395-Q395</f>
        <v>19400000</v>
      </c>
      <c r="T395" s="65">
        <f>SUM(T398:T415)</f>
        <v>46482500</v>
      </c>
      <c r="U395" s="65">
        <f>T395+M395</f>
        <v>65882500</v>
      </c>
      <c r="V395" s="65">
        <f>T395+S395</f>
        <v>65882500</v>
      </c>
      <c r="W395" s="65">
        <f>SUM(W398:W415)</f>
        <v>0</v>
      </c>
      <c r="X395" s="65">
        <f>SUM(X398:X415)</f>
        <v>12900000</v>
      </c>
      <c r="Y395" s="65">
        <f>SUM(Y398:Y415)</f>
        <v>0</v>
      </c>
      <c r="Z395" s="65"/>
      <c r="AA395" s="65">
        <f>SUM(AA398:AA415)</f>
        <v>157283000</v>
      </c>
      <c r="AB395" s="65">
        <f>SUM(AB398:AB415)</f>
        <v>257000000</v>
      </c>
      <c r="AC395" s="65">
        <f t="shared" si="103"/>
        <v>0</v>
      </c>
      <c r="AD395" s="65">
        <f>AA395+T395+M395</f>
        <v>223165500</v>
      </c>
      <c r="AE395" s="65">
        <f t="shared" ref="AE395:AK395" si="105">SUM(AE398:AE415)</f>
        <v>10750000</v>
      </c>
      <c r="AF395" s="65">
        <f t="shared" si="105"/>
        <v>0</v>
      </c>
      <c r="AG395" s="65">
        <f t="shared" si="105"/>
        <v>0</v>
      </c>
      <c r="AH395" s="65">
        <f t="shared" si="105"/>
        <v>0</v>
      </c>
      <c r="AI395" s="65">
        <f t="shared" si="105"/>
        <v>0</v>
      </c>
      <c r="AJ395" s="65">
        <f t="shared" si="105"/>
        <v>0</v>
      </c>
      <c r="AK395" s="65">
        <f t="shared" si="105"/>
        <v>23650000</v>
      </c>
      <c r="AL395" s="65">
        <f>AK395/AB395*100</f>
        <v>9.2023346303501956</v>
      </c>
      <c r="AM395" s="65">
        <f>SUM(AM398:AM415)</f>
        <v>0</v>
      </c>
      <c r="AN395" s="65">
        <f>SUM(AN398:AN415)</f>
        <v>109017400</v>
      </c>
      <c r="AO395" s="65">
        <f>SUM(AO398:AO415)</f>
        <v>0</v>
      </c>
      <c r="AP395" s="42">
        <f>SUM(AP398:AP415)</f>
        <v>50232500</v>
      </c>
      <c r="AQ395" s="65">
        <f>AK395+AM395+AN395+AO395+AP395</f>
        <v>182899900</v>
      </c>
      <c r="AR395" s="65">
        <f>AQ395/AB395*100</f>
        <v>71.167276264591436</v>
      </c>
      <c r="AS395" s="65">
        <f>AB395-AQ395</f>
        <v>74100100</v>
      </c>
      <c r="AT395" s="65">
        <f>SUM(AT398:AT404)</f>
        <v>12366000</v>
      </c>
      <c r="AU395" s="65">
        <f>AT395+U395</f>
        <v>78248500</v>
      </c>
      <c r="AV395" s="65">
        <f>AK395</f>
        <v>23650000</v>
      </c>
      <c r="AW395" s="66">
        <f>AV395/AU395*100</f>
        <v>30.224221550572857</v>
      </c>
      <c r="AX395" s="65">
        <f>AU395-AV395</f>
        <v>54598500</v>
      </c>
      <c r="AY395" s="65">
        <f>AS395/AB395*100</f>
        <v>28.83272373540856</v>
      </c>
      <c r="AZ395" s="67">
        <f>AQ395-AO395-AN395</f>
        <v>73882500</v>
      </c>
      <c r="BA395" s="29">
        <f>AS395</f>
        <v>74100100</v>
      </c>
    </row>
    <row r="396" spans="1:54" ht="20.100000000000001" hidden="1" customHeight="1">
      <c r="A396" s="68"/>
      <c r="B396" s="69"/>
      <c r="C396" s="240" t="s">
        <v>577</v>
      </c>
      <c r="D396" s="240"/>
      <c r="E396" s="241"/>
      <c r="F396" s="70"/>
      <c r="G396" s="71"/>
      <c r="H396" s="240" t="s">
        <v>10</v>
      </c>
      <c r="I396" s="240"/>
      <c r="J396" s="240"/>
      <c r="K396" s="241"/>
      <c r="L396" s="49"/>
      <c r="M396" s="49"/>
      <c r="N396" s="49"/>
      <c r="O396" s="49"/>
      <c r="P396" s="49"/>
      <c r="Q396" s="49"/>
      <c r="R396" s="72"/>
      <c r="S396" s="49"/>
      <c r="T396" s="49"/>
      <c r="U396" s="49"/>
      <c r="V396" s="49"/>
      <c r="W396" s="49"/>
      <c r="X396" s="49"/>
      <c r="Y396" s="49"/>
      <c r="Z396" s="49"/>
      <c r="AA396" s="49"/>
      <c r="AB396" s="49"/>
      <c r="AC396" s="49">
        <f t="shared" si="103"/>
        <v>0</v>
      </c>
      <c r="AD396" s="49"/>
      <c r="AE396" s="49"/>
      <c r="AF396" s="49"/>
      <c r="AG396" s="49"/>
      <c r="AH396" s="49"/>
      <c r="AI396" s="49"/>
      <c r="AJ396" s="49"/>
      <c r="AK396" s="49"/>
      <c r="AL396" s="49"/>
      <c r="AM396" s="49"/>
      <c r="AN396" s="49"/>
      <c r="AO396" s="49"/>
      <c r="AP396" s="42"/>
      <c r="AQ396" s="49"/>
      <c r="AR396" s="49"/>
      <c r="AS396" s="49"/>
      <c r="AT396" s="49"/>
      <c r="AU396" s="49"/>
      <c r="AV396" s="49"/>
      <c r="AW396" s="49"/>
      <c r="AX396" s="49"/>
      <c r="AY396" s="49"/>
      <c r="AZ396" s="73">
        <f t="shared" si="98"/>
        <v>0</v>
      </c>
    </row>
    <row r="397" spans="1:54" ht="20.100000000000001" hidden="1" customHeight="1">
      <c r="A397" s="68"/>
      <c r="B397" s="69"/>
      <c r="C397" s="240" t="s">
        <v>578</v>
      </c>
      <c r="D397" s="240"/>
      <c r="E397" s="241"/>
      <c r="F397" s="70"/>
      <c r="G397" s="71"/>
      <c r="H397" s="71"/>
      <c r="I397" s="240" t="s">
        <v>177</v>
      </c>
      <c r="J397" s="240"/>
      <c r="K397" s="241"/>
      <c r="L397" s="49"/>
      <c r="M397" s="49"/>
      <c r="N397" s="49"/>
      <c r="O397" s="49"/>
      <c r="P397" s="49"/>
      <c r="Q397" s="49"/>
      <c r="R397" s="72"/>
      <c r="S397" s="49"/>
      <c r="T397" s="49"/>
      <c r="U397" s="49"/>
      <c r="V397" s="49"/>
      <c r="W397" s="49"/>
      <c r="X397" s="49"/>
      <c r="Y397" s="49"/>
      <c r="Z397" s="49"/>
      <c r="AA397" s="49"/>
      <c r="AB397" s="49"/>
      <c r="AC397" s="49">
        <f t="shared" si="103"/>
        <v>0</v>
      </c>
      <c r="AD397" s="49"/>
      <c r="AE397" s="49"/>
      <c r="AF397" s="49"/>
      <c r="AG397" s="49"/>
      <c r="AH397" s="49"/>
      <c r="AI397" s="49"/>
      <c r="AJ397" s="49"/>
      <c r="AK397" s="49"/>
      <c r="AL397" s="49"/>
      <c r="AM397" s="49"/>
      <c r="AN397" s="49"/>
      <c r="AO397" s="49"/>
      <c r="AP397" s="42"/>
      <c r="AQ397" s="49"/>
      <c r="AR397" s="49"/>
      <c r="AS397" s="49"/>
      <c r="AT397" s="49"/>
      <c r="AU397" s="49"/>
      <c r="AV397" s="49"/>
      <c r="AW397" s="49"/>
      <c r="AX397" s="49"/>
      <c r="AY397" s="49"/>
      <c r="AZ397" s="73">
        <f t="shared" si="98"/>
        <v>0</v>
      </c>
    </row>
    <row r="398" spans="1:54" ht="20.100000000000001" hidden="1" customHeight="1">
      <c r="A398" s="68"/>
      <c r="B398" s="69"/>
      <c r="C398" s="240" t="s">
        <v>579</v>
      </c>
      <c r="D398" s="240"/>
      <c r="E398" s="241"/>
      <c r="F398" s="70"/>
      <c r="G398" s="71"/>
      <c r="H398" s="71"/>
      <c r="I398" s="71"/>
      <c r="J398" s="240" t="s">
        <v>283</v>
      </c>
      <c r="K398" s="241"/>
      <c r="L398" s="49">
        <v>15500000</v>
      </c>
      <c r="M398" s="49">
        <v>0</v>
      </c>
      <c r="N398" s="49"/>
      <c r="O398" s="49"/>
      <c r="P398" s="49"/>
      <c r="Q398" s="49">
        <f>SUM(N398:P398)</f>
        <v>0</v>
      </c>
      <c r="R398" s="72"/>
      <c r="S398" s="49">
        <f>M398-Q398</f>
        <v>0</v>
      </c>
      <c r="T398" s="49">
        <v>6200000</v>
      </c>
      <c r="U398" s="49">
        <f>T398+M398</f>
        <v>6200000</v>
      </c>
      <c r="V398" s="49">
        <f>T398+S398</f>
        <v>6200000</v>
      </c>
      <c r="W398" s="49"/>
      <c r="X398" s="49"/>
      <c r="Y398" s="49"/>
      <c r="Z398" s="49"/>
      <c r="AA398" s="49">
        <v>9300000</v>
      </c>
      <c r="AB398" s="49">
        <v>18300000</v>
      </c>
      <c r="AC398" s="49">
        <f t="shared" si="103"/>
        <v>2800000</v>
      </c>
      <c r="AD398" s="49">
        <f>AA398+T398+M398</f>
        <v>15500000</v>
      </c>
      <c r="AE398" s="49"/>
      <c r="AF398" s="49"/>
      <c r="AG398" s="49"/>
      <c r="AH398" s="49"/>
      <c r="AI398" s="49"/>
      <c r="AJ398" s="49"/>
      <c r="AK398" s="49">
        <f>Z398+Y398+X398+W398+N398+AG398+AJ398+AI398+AH398</f>
        <v>0</v>
      </c>
      <c r="AL398" s="49">
        <f>AK398/AD398*100</f>
        <v>0</v>
      </c>
      <c r="AM398" s="49"/>
      <c r="AN398" s="49">
        <v>7800000</v>
      </c>
      <c r="AO398" s="49"/>
      <c r="AP398" s="42">
        <v>2600000</v>
      </c>
      <c r="AQ398" s="49">
        <f>AK398+AM398+AN398+AO398+AP398</f>
        <v>10400000</v>
      </c>
      <c r="AR398" s="49">
        <f>AQ398/AB398*100</f>
        <v>56.830601092896174</v>
      </c>
      <c r="AS398" s="49">
        <f t="shared" si="99"/>
        <v>7900000</v>
      </c>
      <c r="AT398" s="49">
        <v>3091500</v>
      </c>
      <c r="AU398" s="49">
        <f>AT398+U398</f>
        <v>9291500</v>
      </c>
      <c r="AV398" s="49">
        <f>AK398</f>
        <v>0</v>
      </c>
      <c r="AW398" s="72">
        <f>AV398/AU398*100</f>
        <v>0</v>
      </c>
      <c r="AX398" s="49">
        <f>AU398-AV398</f>
        <v>9291500</v>
      </c>
      <c r="AY398" s="49">
        <f t="shared" si="96"/>
        <v>43.169398907103826</v>
      </c>
      <c r="AZ398" s="73">
        <f t="shared" si="98"/>
        <v>10400000</v>
      </c>
    </row>
    <row r="399" spans="1:54" ht="20.100000000000001" hidden="1" customHeight="1">
      <c r="A399" s="68"/>
      <c r="B399" s="69"/>
      <c r="C399" s="240" t="s">
        <v>580</v>
      </c>
      <c r="D399" s="240"/>
      <c r="E399" s="241"/>
      <c r="F399" s="70"/>
      <c r="G399" s="71"/>
      <c r="H399" s="71"/>
      <c r="I399" s="71"/>
      <c r="J399" s="240" t="s">
        <v>581</v>
      </c>
      <c r="K399" s="241"/>
      <c r="L399" s="49">
        <v>0</v>
      </c>
      <c r="M399" s="49">
        <v>0</v>
      </c>
      <c r="N399" s="49"/>
      <c r="O399" s="49"/>
      <c r="P399" s="49"/>
      <c r="Q399" s="49">
        <f>SUM(N399:P399)</f>
        <v>0</v>
      </c>
      <c r="R399" s="72"/>
      <c r="S399" s="49">
        <f>M399-Q399</f>
        <v>0</v>
      </c>
      <c r="T399" s="49">
        <v>6200000</v>
      </c>
      <c r="U399" s="49">
        <f>T399+M399</f>
        <v>6200000</v>
      </c>
      <c r="V399" s="49">
        <f>T399+S399</f>
        <v>6200000</v>
      </c>
      <c r="W399" s="49"/>
      <c r="X399" s="49"/>
      <c r="Y399" s="49"/>
      <c r="Z399" s="49"/>
      <c r="AA399" s="49">
        <v>9300000</v>
      </c>
      <c r="AB399" s="49">
        <v>32000000</v>
      </c>
      <c r="AC399" s="49">
        <f>AB399-L399</f>
        <v>32000000</v>
      </c>
      <c r="AD399" s="49">
        <f>AA399+T399+M399</f>
        <v>15500000</v>
      </c>
      <c r="AE399" s="49"/>
      <c r="AF399" s="49"/>
      <c r="AG399" s="49"/>
      <c r="AH399" s="49"/>
      <c r="AI399" s="49"/>
      <c r="AJ399" s="49"/>
      <c r="AK399" s="49">
        <f>Z399+Y399+X399+W399+N399+AG399+AJ399+AI399+AH399</f>
        <v>0</v>
      </c>
      <c r="AL399" s="49">
        <f>AK399/AD399*100</f>
        <v>0</v>
      </c>
      <c r="AM399" s="49"/>
      <c r="AN399" s="49">
        <v>25600000</v>
      </c>
      <c r="AO399" s="49"/>
      <c r="AP399" s="42">
        <v>6400000</v>
      </c>
      <c r="AQ399" s="49">
        <f>AK399+AM399+AN399+AO399+AP399</f>
        <v>32000000</v>
      </c>
      <c r="AR399" s="49">
        <f>AQ399/AB399*100</f>
        <v>100</v>
      </c>
      <c r="AS399" s="49">
        <f t="shared" si="99"/>
        <v>0</v>
      </c>
      <c r="AT399" s="49">
        <v>3091500</v>
      </c>
      <c r="AU399" s="49">
        <f>AT399+U399</f>
        <v>9291500</v>
      </c>
      <c r="AV399" s="49">
        <f>AK399</f>
        <v>0</v>
      </c>
      <c r="AW399" s="72">
        <f>AV399/AU399*100</f>
        <v>0</v>
      </c>
      <c r="AX399" s="49">
        <f>AU399-AV399</f>
        <v>9291500</v>
      </c>
      <c r="AY399" s="49">
        <f t="shared" si="96"/>
        <v>0</v>
      </c>
      <c r="AZ399" s="73">
        <f t="shared" si="98"/>
        <v>32000000</v>
      </c>
    </row>
    <row r="400" spans="1:54" ht="20.100000000000001" hidden="1" customHeight="1">
      <c r="A400" s="68"/>
      <c r="B400" s="69"/>
      <c r="C400" s="240" t="s">
        <v>582</v>
      </c>
      <c r="D400" s="240"/>
      <c r="E400" s="241"/>
      <c r="F400" s="70"/>
      <c r="G400" s="71"/>
      <c r="H400" s="240" t="s">
        <v>143</v>
      </c>
      <c r="I400" s="240"/>
      <c r="J400" s="240"/>
      <c r="K400" s="241"/>
      <c r="L400" s="49"/>
      <c r="M400" s="49"/>
      <c r="N400" s="49"/>
      <c r="O400" s="49"/>
      <c r="P400" s="49"/>
      <c r="Q400" s="49"/>
      <c r="R400" s="72"/>
      <c r="S400" s="49"/>
      <c r="T400" s="49"/>
      <c r="U400" s="49"/>
      <c r="V400" s="49"/>
      <c r="W400" s="49"/>
      <c r="X400" s="49"/>
      <c r="Y400" s="49"/>
      <c r="Z400" s="49"/>
      <c r="AA400" s="49"/>
      <c r="AB400" s="49"/>
      <c r="AC400" s="49">
        <f t="shared" si="103"/>
        <v>0</v>
      </c>
      <c r="AD400" s="49"/>
      <c r="AE400" s="49"/>
      <c r="AF400" s="49"/>
      <c r="AG400" s="49"/>
      <c r="AH400" s="49"/>
      <c r="AI400" s="49"/>
      <c r="AJ400" s="49"/>
      <c r="AK400" s="49"/>
      <c r="AL400" s="49"/>
      <c r="AM400" s="49"/>
      <c r="AN400" s="49"/>
      <c r="AO400" s="49"/>
      <c r="AP400" s="42"/>
      <c r="AQ400" s="49"/>
      <c r="AR400" s="49"/>
      <c r="AS400" s="49"/>
      <c r="AT400" s="49"/>
      <c r="AU400" s="49"/>
      <c r="AV400" s="49"/>
      <c r="AW400" s="49"/>
      <c r="AX400" s="49"/>
      <c r="AY400" s="49"/>
      <c r="AZ400" s="73">
        <f t="shared" si="98"/>
        <v>0</v>
      </c>
    </row>
    <row r="401" spans="1:54" ht="20.100000000000001" hidden="1" customHeight="1">
      <c r="A401" s="68"/>
      <c r="B401" s="69"/>
      <c r="C401" s="240" t="s">
        <v>583</v>
      </c>
      <c r="D401" s="240"/>
      <c r="E401" s="241"/>
      <c r="F401" s="70"/>
      <c r="G401" s="71"/>
      <c r="H401" s="71"/>
      <c r="I401" s="240" t="s">
        <v>145</v>
      </c>
      <c r="J401" s="240"/>
      <c r="K401" s="241"/>
      <c r="L401" s="49"/>
      <c r="M401" s="49"/>
      <c r="N401" s="49"/>
      <c r="O401" s="49"/>
      <c r="P401" s="49"/>
      <c r="Q401" s="49"/>
      <c r="R401" s="72"/>
      <c r="S401" s="49"/>
      <c r="T401" s="49"/>
      <c r="U401" s="49"/>
      <c r="V401" s="49"/>
      <c r="W401" s="49"/>
      <c r="X401" s="49"/>
      <c r="Y401" s="49"/>
      <c r="Z401" s="49"/>
      <c r="AA401" s="49"/>
      <c r="AB401" s="49"/>
      <c r="AC401" s="49">
        <f t="shared" si="103"/>
        <v>0</v>
      </c>
      <c r="AD401" s="49"/>
      <c r="AE401" s="49"/>
      <c r="AF401" s="49"/>
      <c r="AG401" s="49"/>
      <c r="AH401" s="49"/>
      <c r="AI401" s="49"/>
      <c r="AJ401" s="49"/>
      <c r="AK401" s="49"/>
      <c r="AL401" s="49"/>
      <c r="AM401" s="49"/>
      <c r="AN401" s="49"/>
      <c r="AO401" s="49"/>
      <c r="AP401" s="42"/>
      <c r="AQ401" s="49"/>
      <c r="AR401" s="49"/>
      <c r="AS401" s="49"/>
      <c r="AT401" s="49"/>
      <c r="AU401" s="49"/>
      <c r="AV401" s="49"/>
      <c r="AW401" s="49"/>
      <c r="AX401" s="49"/>
      <c r="AY401" s="49"/>
      <c r="AZ401" s="73">
        <f t="shared" si="98"/>
        <v>0</v>
      </c>
    </row>
    <row r="402" spans="1:54" ht="20.100000000000001" hidden="1" customHeight="1">
      <c r="A402" s="68"/>
      <c r="B402" s="69"/>
      <c r="C402" s="240" t="s">
        <v>584</v>
      </c>
      <c r="D402" s="240"/>
      <c r="E402" s="241"/>
      <c r="F402" s="70"/>
      <c r="G402" s="71"/>
      <c r="H402" s="71"/>
      <c r="I402" s="71"/>
      <c r="J402" s="240" t="s">
        <v>147</v>
      </c>
      <c r="K402" s="241"/>
      <c r="L402" s="49">
        <v>827000</v>
      </c>
      <c r="M402" s="49">
        <v>0</v>
      </c>
      <c r="N402" s="49"/>
      <c r="O402" s="49"/>
      <c r="P402" s="49"/>
      <c r="Q402" s="49">
        <f>SUM(N402:P402)</f>
        <v>0</v>
      </c>
      <c r="R402" s="72"/>
      <c r="S402" s="49">
        <f>M402-Q402</f>
        <v>0</v>
      </c>
      <c r="T402" s="49">
        <v>0</v>
      </c>
      <c r="U402" s="49">
        <f>T402+M402</f>
        <v>0</v>
      </c>
      <c r="V402" s="49">
        <f>T402+S402</f>
        <v>0</v>
      </c>
      <c r="W402" s="49"/>
      <c r="X402" s="49"/>
      <c r="Y402" s="49"/>
      <c r="Z402" s="49"/>
      <c r="AA402" s="49">
        <v>827000</v>
      </c>
      <c r="AB402" s="49">
        <v>827000</v>
      </c>
      <c r="AC402" s="49">
        <f t="shared" si="103"/>
        <v>0</v>
      </c>
      <c r="AD402" s="49">
        <f>AA402+T402+M402</f>
        <v>827000</v>
      </c>
      <c r="AE402" s="49"/>
      <c r="AF402" s="49"/>
      <c r="AG402" s="49"/>
      <c r="AH402" s="49"/>
      <c r="AI402" s="49"/>
      <c r="AJ402" s="49"/>
      <c r="AK402" s="49">
        <f>Z402+Y402+X402+W402+N402+AG402+AJ402+AI402+AH402</f>
        <v>0</v>
      </c>
      <c r="AL402" s="49">
        <f>AK402/AD402*100</f>
        <v>0</v>
      </c>
      <c r="AM402" s="49"/>
      <c r="AN402" s="49">
        <v>827000</v>
      </c>
      <c r="AO402" s="49"/>
      <c r="AP402" s="42"/>
      <c r="AQ402" s="49">
        <f>AK402+AM402+AN402+AO402+AP402</f>
        <v>827000</v>
      </c>
      <c r="AR402" s="49">
        <f>AQ402/AB402*100</f>
        <v>100</v>
      </c>
      <c r="AS402" s="49">
        <f t="shared" si="99"/>
        <v>0</v>
      </c>
      <c r="AT402" s="49">
        <v>3091500</v>
      </c>
      <c r="AU402" s="49">
        <f>AT402+U402</f>
        <v>3091500</v>
      </c>
      <c r="AV402" s="49">
        <f>AK402</f>
        <v>0</v>
      </c>
      <c r="AW402" s="72">
        <f>AV402/AU402*100</f>
        <v>0</v>
      </c>
      <c r="AX402" s="49">
        <f>AU402-AV402</f>
        <v>3091500</v>
      </c>
      <c r="AY402" s="49">
        <f t="shared" si="96"/>
        <v>0</v>
      </c>
      <c r="AZ402" s="73">
        <f t="shared" si="98"/>
        <v>827000</v>
      </c>
    </row>
    <row r="403" spans="1:54" ht="20.100000000000001" hidden="1" customHeight="1">
      <c r="A403" s="68"/>
      <c r="B403" s="69"/>
      <c r="C403" s="240" t="s">
        <v>585</v>
      </c>
      <c r="D403" s="240"/>
      <c r="E403" s="241"/>
      <c r="F403" s="70"/>
      <c r="G403" s="71"/>
      <c r="H403" s="71"/>
      <c r="I403" s="240" t="s">
        <v>163</v>
      </c>
      <c r="J403" s="240"/>
      <c r="K403" s="241"/>
      <c r="L403" s="49"/>
      <c r="M403" s="49"/>
      <c r="N403" s="49"/>
      <c r="O403" s="49"/>
      <c r="P403" s="49"/>
      <c r="Q403" s="49"/>
      <c r="R403" s="72"/>
      <c r="S403" s="49"/>
      <c r="T403" s="49"/>
      <c r="U403" s="49"/>
      <c r="V403" s="49"/>
      <c r="W403" s="49"/>
      <c r="X403" s="49"/>
      <c r="Y403" s="49"/>
      <c r="Z403" s="49"/>
      <c r="AA403" s="49"/>
      <c r="AB403" s="49"/>
      <c r="AC403" s="49">
        <f t="shared" si="103"/>
        <v>0</v>
      </c>
      <c r="AD403" s="49"/>
      <c r="AE403" s="49"/>
      <c r="AF403" s="49"/>
      <c r="AG403" s="49"/>
      <c r="AH403" s="49"/>
      <c r="AI403" s="49"/>
      <c r="AJ403" s="49"/>
      <c r="AK403" s="49"/>
      <c r="AL403" s="49"/>
      <c r="AM403" s="49"/>
      <c r="AN403" s="49"/>
      <c r="AO403" s="49"/>
      <c r="AP403" s="42"/>
      <c r="AQ403" s="49"/>
      <c r="AR403" s="49"/>
      <c r="AS403" s="49"/>
      <c r="AT403" s="49"/>
      <c r="AU403" s="49"/>
      <c r="AV403" s="49"/>
      <c r="AW403" s="49"/>
      <c r="AX403" s="49"/>
      <c r="AY403" s="49"/>
      <c r="AZ403" s="73">
        <f t="shared" si="98"/>
        <v>0</v>
      </c>
    </row>
    <row r="404" spans="1:54" ht="20.100000000000001" hidden="1" customHeight="1">
      <c r="A404" s="68"/>
      <c r="B404" s="69"/>
      <c r="C404" s="240" t="s">
        <v>586</v>
      </c>
      <c r="D404" s="240"/>
      <c r="E404" s="241"/>
      <c r="F404" s="70"/>
      <c r="G404" s="71"/>
      <c r="H404" s="71"/>
      <c r="I404" s="71"/>
      <c r="J404" s="240" t="s">
        <v>447</v>
      </c>
      <c r="K404" s="241"/>
      <c r="L404" s="49">
        <v>0</v>
      </c>
      <c r="M404" s="49">
        <v>0</v>
      </c>
      <c r="N404" s="49"/>
      <c r="O404" s="49"/>
      <c r="P404" s="49"/>
      <c r="Q404" s="49">
        <f>SUM(N404:P404)</f>
        <v>0</v>
      </c>
      <c r="R404" s="72"/>
      <c r="S404" s="49">
        <f>M404-Q404</f>
        <v>0</v>
      </c>
      <c r="T404" s="49">
        <v>0</v>
      </c>
      <c r="U404" s="49">
        <f>T404+M404</f>
        <v>0</v>
      </c>
      <c r="V404" s="49">
        <f>T404+S404</f>
        <v>0</v>
      </c>
      <c r="W404" s="49"/>
      <c r="X404" s="49"/>
      <c r="Y404" s="49"/>
      <c r="Z404" s="49"/>
      <c r="AA404" s="49">
        <v>42500000</v>
      </c>
      <c r="AB404" s="49">
        <v>15000000</v>
      </c>
      <c r="AC404" s="49">
        <f>AB404-L404</f>
        <v>15000000</v>
      </c>
      <c r="AD404" s="49">
        <f>AA404+T404+M404</f>
        <v>42500000</v>
      </c>
      <c r="AE404" s="49"/>
      <c r="AF404" s="49"/>
      <c r="AG404" s="49"/>
      <c r="AH404" s="49"/>
      <c r="AI404" s="49"/>
      <c r="AJ404" s="49"/>
      <c r="AK404" s="49">
        <f>Z404+Y404+X404+W404+N404+AG404+AJ404+AI404+AH404</f>
        <v>0</v>
      </c>
      <c r="AL404" s="49">
        <f>AK404/AD404*100</f>
        <v>0</v>
      </c>
      <c r="AM404" s="49"/>
      <c r="AN404" s="49"/>
      <c r="AO404" s="49"/>
      <c r="AP404" s="42"/>
      <c r="AQ404" s="49">
        <f>AK404+AM404+AN404+AO404+AP404</f>
        <v>0</v>
      </c>
      <c r="AR404" s="49">
        <f>AQ404/AB404*100</f>
        <v>0</v>
      </c>
      <c r="AS404" s="49">
        <f t="shared" si="99"/>
        <v>15000000</v>
      </c>
      <c r="AT404" s="49">
        <v>3091500</v>
      </c>
      <c r="AU404" s="49">
        <f>AT404+U404</f>
        <v>3091500</v>
      </c>
      <c r="AV404" s="49">
        <f>AK404</f>
        <v>0</v>
      </c>
      <c r="AW404" s="72">
        <f>AV404/AU404*100</f>
        <v>0</v>
      </c>
      <c r="AX404" s="49">
        <f>AU404-AV404</f>
        <v>3091500</v>
      </c>
      <c r="AY404" s="49">
        <f t="shared" si="96"/>
        <v>100</v>
      </c>
      <c r="AZ404" s="73">
        <f t="shared" si="98"/>
        <v>0</v>
      </c>
    </row>
    <row r="405" spans="1:54" ht="20.100000000000001" hidden="1" customHeight="1">
      <c r="A405" s="68"/>
      <c r="B405" s="69"/>
      <c r="C405" s="240" t="s">
        <v>587</v>
      </c>
      <c r="D405" s="240"/>
      <c r="E405" s="241"/>
      <c r="F405" s="70"/>
      <c r="G405" s="71"/>
      <c r="H405" s="71"/>
      <c r="I405" s="71"/>
      <c r="J405" s="240" t="s">
        <v>352</v>
      </c>
      <c r="K405" s="241"/>
      <c r="L405" s="49">
        <v>42500000</v>
      </c>
      <c r="M405" s="49">
        <v>0</v>
      </c>
      <c r="N405" s="49"/>
      <c r="O405" s="49"/>
      <c r="P405" s="49"/>
      <c r="Q405" s="49">
        <f>SUM(N405:P405)</f>
        <v>0</v>
      </c>
      <c r="R405" s="72"/>
      <c r="S405" s="49">
        <f>M405-Q405</f>
        <v>0</v>
      </c>
      <c r="T405" s="49">
        <v>0</v>
      </c>
      <c r="U405" s="49">
        <f>T405+M405</f>
        <v>0</v>
      </c>
      <c r="V405" s="49">
        <f>T405+S405</f>
        <v>0</v>
      </c>
      <c r="W405" s="49"/>
      <c r="X405" s="49"/>
      <c r="Y405" s="49"/>
      <c r="Z405" s="49"/>
      <c r="AA405" s="49">
        <v>42500000</v>
      </c>
      <c r="AB405" s="49">
        <v>42500000</v>
      </c>
      <c r="AC405" s="49">
        <f t="shared" si="103"/>
        <v>0</v>
      </c>
      <c r="AD405" s="49">
        <f>AA405+T405+M405</f>
        <v>42500000</v>
      </c>
      <c r="AE405" s="49"/>
      <c r="AF405" s="49"/>
      <c r="AG405" s="49"/>
      <c r="AH405" s="49"/>
      <c r="AI405" s="49"/>
      <c r="AJ405" s="49"/>
      <c r="AK405" s="49">
        <f>Z405+Y405+X405+W405+N405+AG405+AJ405+AI405+AH405</f>
        <v>0</v>
      </c>
      <c r="AL405" s="49">
        <f>AK405/AD405*100</f>
        <v>0</v>
      </c>
      <c r="AM405" s="49"/>
      <c r="AN405" s="49">
        <v>40000000</v>
      </c>
      <c r="AO405" s="49"/>
      <c r="AP405" s="42"/>
      <c r="AQ405" s="49">
        <f>AK405+AM405+AN405+AO405+AP405</f>
        <v>40000000</v>
      </c>
      <c r="AR405" s="49">
        <f>AQ405/AB405*100</f>
        <v>94.117647058823522</v>
      </c>
      <c r="AS405" s="49">
        <f t="shared" si="99"/>
        <v>2500000</v>
      </c>
      <c r="AT405" s="49">
        <v>3091500</v>
      </c>
      <c r="AU405" s="49">
        <f>AT405+U405</f>
        <v>3091500</v>
      </c>
      <c r="AV405" s="49">
        <f>AK405</f>
        <v>0</v>
      </c>
      <c r="AW405" s="72">
        <f>AV405/AU405*100</f>
        <v>0</v>
      </c>
      <c r="AX405" s="49">
        <f>AU405-AV405</f>
        <v>3091500</v>
      </c>
      <c r="AY405" s="49">
        <f t="shared" si="96"/>
        <v>5.8823529411764701</v>
      </c>
      <c r="AZ405" s="73">
        <f t="shared" si="98"/>
        <v>40000000</v>
      </c>
    </row>
    <row r="406" spans="1:54" ht="20.100000000000001" hidden="1" customHeight="1">
      <c r="A406" s="68"/>
      <c r="B406" s="69"/>
      <c r="C406" s="240" t="s">
        <v>588</v>
      </c>
      <c r="D406" s="240"/>
      <c r="E406" s="241"/>
      <c r="F406" s="70"/>
      <c r="G406" s="71"/>
      <c r="H406" s="71"/>
      <c r="I406" s="240" t="s">
        <v>151</v>
      </c>
      <c r="J406" s="240"/>
      <c r="K406" s="241"/>
      <c r="L406" s="49"/>
      <c r="M406" s="49"/>
      <c r="N406" s="49"/>
      <c r="O406" s="49"/>
      <c r="P406" s="49"/>
      <c r="Q406" s="49"/>
      <c r="R406" s="72"/>
      <c r="S406" s="49"/>
      <c r="T406" s="49"/>
      <c r="U406" s="49"/>
      <c r="V406" s="49"/>
      <c r="W406" s="49"/>
      <c r="X406" s="49"/>
      <c r="Y406" s="49"/>
      <c r="Z406" s="49"/>
      <c r="AA406" s="49"/>
      <c r="AB406" s="49"/>
      <c r="AC406" s="49">
        <f t="shared" si="103"/>
        <v>0</v>
      </c>
      <c r="AD406" s="49"/>
      <c r="AE406" s="49"/>
      <c r="AF406" s="49"/>
      <c r="AG406" s="49"/>
      <c r="AH406" s="49"/>
      <c r="AI406" s="49"/>
      <c r="AJ406" s="49"/>
      <c r="AK406" s="49"/>
      <c r="AL406" s="49"/>
      <c r="AM406" s="49"/>
      <c r="AN406" s="49"/>
      <c r="AO406" s="49"/>
      <c r="AP406" s="42"/>
      <c r="AQ406" s="49"/>
      <c r="AR406" s="49"/>
      <c r="AS406" s="49"/>
      <c r="AT406" s="49"/>
      <c r="AU406" s="49"/>
      <c r="AV406" s="49"/>
      <c r="AW406" s="49"/>
      <c r="AX406" s="49"/>
      <c r="AY406" s="49"/>
      <c r="AZ406" s="73">
        <f t="shared" si="98"/>
        <v>0</v>
      </c>
    </row>
    <row r="407" spans="1:54" ht="20.100000000000001" hidden="1" customHeight="1">
      <c r="A407" s="68"/>
      <c r="B407" s="69"/>
      <c r="C407" s="240" t="s">
        <v>589</v>
      </c>
      <c r="D407" s="240"/>
      <c r="E407" s="241"/>
      <c r="F407" s="70"/>
      <c r="G407" s="71"/>
      <c r="H407" s="71"/>
      <c r="I407" s="71"/>
      <c r="J407" s="240" t="s">
        <v>153</v>
      </c>
      <c r="K407" s="241"/>
      <c r="L407" s="49">
        <v>0</v>
      </c>
      <c r="M407" s="49">
        <v>0</v>
      </c>
      <c r="N407" s="49"/>
      <c r="O407" s="49"/>
      <c r="P407" s="49"/>
      <c r="Q407" s="49">
        <f>SUM(N407:P407)</f>
        <v>0</v>
      </c>
      <c r="R407" s="72"/>
      <c r="S407" s="49">
        <f>M407-Q407</f>
        <v>0</v>
      </c>
      <c r="T407" s="49">
        <v>0</v>
      </c>
      <c r="U407" s="49">
        <f>T407+M407</f>
        <v>0</v>
      </c>
      <c r="V407" s="49">
        <f>T407+S407</f>
        <v>0</v>
      </c>
      <c r="W407" s="49"/>
      <c r="X407" s="49"/>
      <c r="Y407" s="49"/>
      <c r="Z407" s="49"/>
      <c r="AA407" s="49">
        <v>1065500</v>
      </c>
      <c r="AB407" s="49">
        <v>1600000</v>
      </c>
      <c r="AC407" s="49">
        <f>AB407-L407</f>
        <v>1600000</v>
      </c>
      <c r="AD407" s="49">
        <f>AA407+T407+M407</f>
        <v>1065500</v>
      </c>
      <c r="AE407" s="49"/>
      <c r="AF407" s="49"/>
      <c r="AG407" s="49"/>
      <c r="AH407" s="49"/>
      <c r="AI407" s="49"/>
      <c r="AJ407" s="49"/>
      <c r="AK407" s="49">
        <f>Z407+Y407+X407+W407+N407+AG407+AJ407+AI407+AH407</f>
        <v>0</v>
      </c>
      <c r="AL407" s="49">
        <f>AK407/AD407*100</f>
        <v>0</v>
      </c>
      <c r="AM407" s="49"/>
      <c r="AN407" s="49"/>
      <c r="AO407" s="49"/>
      <c r="AP407" s="42">
        <v>1600000</v>
      </c>
      <c r="AQ407" s="49">
        <f>AK407+AM407+AN407+AO407+AP407</f>
        <v>1600000</v>
      </c>
      <c r="AR407" s="49">
        <f>AQ407/AB407*100</f>
        <v>100</v>
      </c>
      <c r="AS407" s="49">
        <f t="shared" si="99"/>
        <v>0</v>
      </c>
      <c r="AT407" s="49">
        <v>3091500</v>
      </c>
      <c r="AU407" s="49">
        <f>AT407+U407</f>
        <v>3091500</v>
      </c>
      <c r="AV407" s="49">
        <f>AK407</f>
        <v>0</v>
      </c>
      <c r="AW407" s="72">
        <f>AV407/AU407*100</f>
        <v>0</v>
      </c>
      <c r="AX407" s="49">
        <f>AU407-AV407</f>
        <v>3091500</v>
      </c>
      <c r="AY407" s="49">
        <f t="shared" si="96"/>
        <v>0</v>
      </c>
      <c r="AZ407" s="73">
        <f t="shared" si="98"/>
        <v>1600000</v>
      </c>
    </row>
    <row r="408" spans="1:54" ht="20.100000000000001" hidden="1" customHeight="1">
      <c r="A408" s="68"/>
      <c r="B408" s="69"/>
      <c r="C408" s="240" t="s">
        <v>590</v>
      </c>
      <c r="D408" s="240"/>
      <c r="E408" s="241"/>
      <c r="F408" s="70"/>
      <c r="G408" s="71"/>
      <c r="H408" s="71"/>
      <c r="I408" s="71"/>
      <c r="J408" s="240" t="s">
        <v>155</v>
      </c>
      <c r="K408" s="241"/>
      <c r="L408" s="49">
        <v>1065500</v>
      </c>
      <c r="M408" s="49">
        <v>0</v>
      </c>
      <c r="N408" s="49"/>
      <c r="O408" s="49"/>
      <c r="P408" s="49"/>
      <c r="Q408" s="49">
        <f>SUM(N408:P408)</f>
        <v>0</v>
      </c>
      <c r="R408" s="72"/>
      <c r="S408" s="49">
        <f>M408-Q408</f>
        <v>0</v>
      </c>
      <c r="T408" s="49">
        <v>0</v>
      </c>
      <c r="U408" s="49">
        <f>T408+M408</f>
        <v>0</v>
      </c>
      <c r="V408" s="49">
        <f>T408+S408</f>
        <v>0</v>
      </c>
      <c r="W408" s="49"/>
      <c r="X408" s="49"/>
      <c r="Y408" s="49"/>
      <c r="Z408" s="49"/>
      <c r="AA408" s="49">
        <v>1065500</v>
      </c>
      <c r="AB408" s="49">
        <v>1940500</v>
      </c>
      <c r="AC408" s="49">
        <f t="shared" si="103"/>
        <v>875000</v>
      </c>
      <c r="AD408" s="49">
        <f>AA408+T408+M408</f>
        <v>1065500</v>
      </c>
      <c r="AE408" s="49"/>
      <c r="AF408" s="49"/>
      <c r="AG408" s="49"/>
      <c r="AH408" s="49"/>
      <c r="AI408" s="49"/>
      <c r="AJ408" s="49"/>
      <c r="AK408" s="49">
        <f>Z408+Y408+X408+W408+N408+AG408+AJ408+AI408+AH408</f>
        <v>0</v>
      </c>
      <c r="AL408" s="49">
        <f>AK408/AD408*100</f>
        <v>0</v>
      </c>
      <c r="AM408" s="49"/>
      <c r="AN408" s="49">
        <v>1065400</v>
      </c>
      <c r="AO408" s="49"/>
      <c r="AP408" s="42"/>
      <c r="AQ408" s="49">
        <f>AK408+AM408+AN408+AO408+AP408</f>
        <v>1065400</v>
      </c>
      <c r="AR408" s="49">
        <f>AQ408/AB408*100</f>
        <v>54.903375418706524</v>
      </c>
      <c r="AS408" s="49">
        <f t="shared" si="99"/>
        <v>875100</v>
      </c>
      <c r="AT408" s="49">
        <v>3091500</v>
      </c>
      <c r="AU408" s="49">
        <f>AT408+U408</f>
        <v>3091500</v>
      </c>
      <c r="AV408" s="49">
        <f>AK408</f>
        <v>0</v>
      </c>
      <c r="AW408" s="72">
        <f>AV408/AU408*100</f>
        <v>0</v>
      </c>
      <c r="AX408" s="49">
        <f>AU408-AV408</f>
        <v>3091500</v>
      </c>
      <c r="AY408" s="49">
        <f t="shared" si="96"/>
        <v>45.096624581293483</v>
      </c>
      <c r="AZ408" s="73">
        <f t="shared" si="98"/>
        <v>1065400</v>
      </c>
    </row>
    <row r="409" spans="1:54" ht="20.100000000000001" hidden="1" customHeight="1">
      <c r="A409" s="68"/>
      <c r="B409" s="69"/>
      <c r="C409" s="240" t="s">
        <v>591</v>
      </c>
      <c r="D409" s="240"/>
      <c r="E409" s="241"/>
      <c r="F409" s="70"/>
      <c r="G409" s="71"/>
      <c r="H409" s="71"/>
      <c r="I409" s="240" t="s">
        <v>193</v>
      </c>
      <c r="J409" s="240"/>
      <c r="K409" s="241"/>
      <c r="L409" s="49"/>
      <c r="M409" s="49"/>
      <c r="N409" s="49"/>
      <c r="O409" s="49"/>
      <c r="P409" s="49"/>
      <c r="Q409" s="49"/>
      <c r="R409" s="72"/>
      <c r="S409" s="49"/>
      <c r="T409" s="49"/>
      <c r="U409" s="49"/>
      <c r="V409" s="49"/>
      <c r="W409" s="49"/>
      <c r="X409" s="49"/>
      <c r="Y409" s="49"/>
      <c r="Z409" s="49"/>
      <c r="AA409" s="49"/>
      <c r="AB409" s="49"/>
      <c r="AC409" s="49">
        <f t="shared" si="103"/>
        <v>0</v>
      </c>
      <c r="AD409" s="49"/>
      <c r="AE409" s="49"/>
      <c r="AF409" s="49"/>
      <c r="AG409" s="49"/>
      <c r="AH409" s="49"/>
      <c r="AI409" s="49"/>
      <c r="AJ409" s="49"/>
      <c r="AK409" s="49"/>
      <c r="AL409" s="49"/>
      <c r="AM409" s="49"/>
      <c r="AN409" s="49"/>
      <c r="AO409" s="49"/>
      <c r="AP409" s="42"/>
      <c r="AQ409" s="49"/>
      <c r="AR409" s="49"/>
      <c r="AS409" s="49"/>
      <c r="AT409" s="49"/>
      <c r="AU409" s="49"/>
      <c r="AV409" s="49"/>
      <c r="AW409" s="49"/>
      <c r="AX409" s="49"/>
      <c r="AY409" s="49"/>
      <c r="AZ409" s="73">
        <f t="shared" si="98"/>
        <v>0</v>
      </c>
    </row>
    <row r="410" spans="1:54" ht="20.100000000000001" hidden="1" customHeight="1">
      <c r="A410" s="68"/>
      <c r="B410" s="69"/>
      <c r="C410" s="240" t="s">
        <v>592</v>
      </c>
      <c r="D410" s="240"/>
      <c r="E410" s="241"/>
      <c r="F410" s="70"/>
      <c r="G410" s="71"/>
      <c r="H410" s="71"/>
      <c r="I410" s="71"/>
      <c r="J410" s="240" t="s">
        <v>195</v>
      </c>
      <c r="K410" s="241"/>
      <c r="L410" s="49">
        <v>33425000</v>
      </c>
      <c r="M410" s="49">
        <v>0</v>
      </c>
      <c r="N410" s="49"/>
      <c r="O410" s="49"/>
      <c r="P410" s="49"/>
      <c r="Q410" s="49">
        <f>SUM(N410:P410)</f>
        <v>0</v>
      </c>
      <c r="R410" s="72"/>
      <c r="S410" s="49">
        <f>M410-Q410</f>
        <v>0</v>
      </c>
      <c r="T410" s="49">
        <v>0</v>
      </c>
      <c r="U410" s="49">
        <f>T410+M410</f>
        <v>0</v>
      </c>
      <c r="V410" s="49">
        <f>T410+S410</f>
        <v>0</v>
      </c>
      <c r="W410" s="49"/>
      <c r="X410" s="49"/>
      <c r="Y410" s="49"/>
      <c r="Z410" s="49"/>
      <c r="AA410" s="49">
        <v>33425000</v>
      </c>
      <c r="AB410" s="49">
        <v>37450000</v>
      </c>
      <c r="AC410" s="49">
        <f t="shared" si="103"/>
        <v>4025000</v>
      </c>
      <c r="AD410" s="49">
        <f>AA410+T410+M410</f>
        <v>33425000</v>
      </c>
      <c r="AE410" s="49"/>
      <c r="AF410" s="49"/>
      <c r="AG410" s="49"/>
      <c r="AH410" s="49"/>
      <c r="AI410" s="49"/>
      <c r="AJ410" s="49"/>
      <c r="AK410" s="49">
        <f>Z410+Y410+X410+W410+N410+AG410+AJ410+AI410+AH410</f>
        <v>0</v>
      </c>
      <c r="AL410" s="49">
        <f>AK410/AD410*100</f>
        <v>0</v>
      </c>
      <c r="AM410" s="49"/>
      <c r="AN410" s="49">
        <v>29225000</v>
      </c>
      <c r="AO410" s="49"/>
      <c r="AP410" s="42"/>
      <c r="AQ410" s="49">
        <f>AK410+AM410+AN410+AO410+AP410</f>
        <v>29225000</v>
      </c>
      <c r="AR410" s="49">
        <f>AQ410/AB410*100</f>
        <v>78.037383177570092</v>
      </c>
      <c r="AS410" s="49">
        <f t="shared" si="99"/>
        <v>8225000</v>
      </c>
      <c r="AT410" s="49">
        <v>3091500</v>
      </c>
      <c r="AU410" s="49">
        <f>AT410+U410</f>
        <v>3091500</v>
      </c>
      <c r="AV410" s="49">
        <f>AK410</f>
        <v>0</v>
      </c>
      <c r="AW410" s="72">
        <f>AV410/AU410*100</f>
        <v>0</v>
      </c>
      <c r="AX410" s="49">
        <f>AU410-AV410</f>
        <v>3091500</v>
      </c>
      <c r="AY410" s="49">
        <f t="shared" si="96"/>
        <v>21.962616822429908</v>
      </c>
      <c r="AZ410" s="73">
        <f t="shared" si="98"/>
        <v>29225000</v>
      </c>
      <c r="BB410" s="29">
        <f>AS410</f>
        <v>8225000</v>
      </c>
    </row>
    <row r="411" spans="1:54" ht="20.100000000000001" hidden="1" customHeight="1">
      <c r="A411" s="68"/>
      <c r="B411" s="69"/>
      <c r="C411" s="240" t="s">
        <v>593</v>
      </c>
      <c r="D411" s="240"/>
      <c r="E411" s="241"/>
      <c r="F411" s="70"/>
      <c r="G411" s="71"/>
      <c r="H411" s="71"/>
      <c r="I411" s="240" t="s">
        <v>157</v>
      </c>
      <c r="J411" s="240"/>
      <c r="K411" s="241"/>
      <c r="L411" s="49"/>
      <c r="M411" s="49"/>
      <c r="N411" s="49"/>
      <c r="O411" s="49"/>
      <c r="P411" s="49"/>
      <c r="Q411" s="49"/>
      <c r="R411" s="72"/>
      <c r="S411" s="49"/>
      <c r="T411" s="49"/>
      <c r="U411" s="49"/>
      <c r="V411" s="49"/>
      <c r="W411" s="49"/>
      <c r="X411" s="49"/>
      <c r="Y411" s="49"/>
      <c r="Z411" s="49"/>
      <c r="AA411" s="49"/>
      <c r="AB411" s="49"/>
      <c r="AC411" s="49">
        <f t="shared" si="103"/>
        <v>0</v>
      </c>
      <c r="AD411" s="49"/>
      <c r="AE411" s="49"/>
      <c r="AF411" s="49"/>
      <c r="AG411" s="49"/>
      <c r="AH411" s="49"/>
      <c r="AI411" s="49"/>
      <c r="AJ411" s="49"/>
      <c r="AK411" s="49"/>
      <c r="AL411" s="49"/>
      <c r="AM411" s="49"/>
      <c r="AN411" s="49"/>
      <c r="AO411" s="49"/>
      <c r="AP411" s="42"/>
      <c r="AQ411" s="49"/>
      <c r="AR411" s="49"/>
      <c r="AS411" s="49"/>
      <c r="AT411" s="49"/>
      <c r="AU411" s="49"/>
      <c r="AV411" s="49"/>
      <c r="AW411" s="49"/>
      <c r="AX411" s="49"/>
      <c r="AY411" s="49"/>
      <c r="AZ411" s="73">
        <f t="shared" si="98"/>
        <v>0</v>
      </c>
    </row>
    <row r="412" spans="1:54" ht="20.100000000000001" hidden="1" customHeight="1">
      <c r="A412" s="68"/>
      <c r="B412" s="69"/>
      <c r="C412" s="240" t="s">
        <v>594</v>
      </c>
      <c r="D412" s="240"/>
      <c r="E412" s="241"/>
      <c r="F412" s="70"/>
      <c r="G412" s="71"/>
      <c r="H412" s="71"/>
      <c r="I412" s="71"/>
      <c r="J412" s="240" t="s">
        <v>159</v>
      </c>
      <c r="K412" s="241"/>
      <c r="L412" s="49">
        <v>3200000</v>
      </c>
      <c r="M412" s="49">
        <v>0</v>
      </c>
      <c r="N412" s="49"/>
      <c r="O412" s="49"/>
      <c r="P412" s="49"/>
      <c r="Q412" s="49">
        <f>SUM(N412:P412)</f>
        <v>0</v>
      </c>
      <c r="R412" s="72"/>
      <c r="S412" s="49">
        <f>M412-Q412</f>
        <v>0</v>
      </c>
      <c r="T412" s="49">
        <v>0</v>
      </c>
      <c r="U412" s="49">
        <f>T412+M412</f>
        <v>0</v>
      </c>
      <c r="V412" s="49">
        <f>T412+S412</f>
        <v>0</v>
      </c>
      <c r="W412" s="49"/>
      <c r="X412" s="49"/>
      <c r="Y412" s="49"/>
      <c r="Z412" s="49"/>
      <c r="AA412" s="49">
        <v>3200000</v>
      </c>
      <c r="AB412" s="49">
        <v>3200000</v>
      </c>
      <c r="AC412" s="49">
        <f t="shared" si="103"/>
        <v>0</v>
      </c>
      <c r="AD412" s="49">
        <f>AA412+T412+M412</f>
        <v>3200000</v>
      </c>
      <c r="AE412" s="49"/>
      <c r="AF412" s="49"/>
      <c r="AG412" s="49"/>
      <c r="AH412" s="49"/>
      <c r="AI412" s="49"/>
      <c r="AJ412" s="49"/>
      <c r="AK412" s="49">
        <f>Z412+Y412+X412+W412+N412+AG412+AJ412+AI412+AH412</f>
        <v>0</v>
      </c>
      <c r="AL412" s="49">
        <f>AK412/AD412*100</f>
        <v>0</v>
      </c>
      <c r="AM412" s="49"/>
      <c r="AN412" s="49"/>
      <c r="AO412" s="49"/>
      <c r="AP412" s="42">
        <v>3200000</v>
      </c>
      <c r="AQ412" s="49">
        <f>AK412+AM412+AN412+AO412+AP412</f>
        <v>3200000</v>
      </c>
      <c r="AR412" s="49">
        <f>AQ412/AB412*100</f>
        <v>100</v>
      </c>
      <c r="AS412" s="49">
        <f t="shared" si="99"/>
        <v>0</v>
      </c>
      <c r="AT412" s="49">
        <v>3091500</v>
      </c>
      <c r="AU412" s="49">
        <f>AT412+U412</f>
        <v>3091500</v>
      </c>
      <c r="AV412" s="49">
        <f>AK412</f>
        <v>0</v>
      </c>
      <c r="AW412" s="72">
        <f>AV412/AU412*100</f>
        <v>0</v>
      </c>
      <c r="AX412" s="49">
        <f>AU412-AV412</f>
        <v>3091500</v>
      </c>
      <c r="AY412" s="49">
        <f t="shared" si="96"/>
        <v>0</v>
      </c>
      <c r="AZ412" s="73">
        <f t="shared" si="98"/>
        <v>3200000</v>
      </c>
    </row>
    <row r="413" spans="1:54" ht="20.100000000000001" hidden="1" customHeight="1">
      <c r="A413" s="68"/>
      <c r="B413" s="69"/>
      <c r="C413" s="240" t="s">
        <v>595</v>
      </c>
      <c r="D413" s="240"/>
      <c r="E413" s="241"/>
      <c r="F413" s="70"/>
      <c r="G413" s="71"/>
      <c r="H413" s="71"/>
      <c r="I413" s="71"/>
      <c r="J413" s="240" t="s">
        <v>207</v>
      </c>
      <c r="K413" s="241"/>
      <c r="L413" s="49">
        <v>60082500</v>
      </c>
      <c r="M413" s="49">
        <v>13000000</v>
      </c>
      <c r="N413" s="49">
        <v>0</v>
      </c>
      <c r="O413" s="49"/>
      <c r="P413" s="49"/>
      <c r="Q413" s="49">
        <f>SUM(N413:P413)</f>
        <v>0</v>
      </c>
      <c r="R413" s="72">
        <f>Q413/M413*100</f>
        <v>0</v>
      </c>
      <c r="S413" s="49">
        <f>M413-Q413</f>
        <v>13000000</v>
      </c>
      <c r="T413" s="49">
        <v>24482500</v>
      </c>
      <c r="U413" s="49">
        <f>T413+M413</f>
        <v>37482500</v>
      </c>
      <c r="V413" s="49">
        <f>T413+S413</f>
        <v>37482500</v>
      </c>
      <c r="W413" s="49">
        <v>0</v>
      </c>
      <c r="X413" s="49">
        <f>12900000</f>
        <v>12900000</v>
      </c>
      <c r="Y413" s="49"/>
      <c r="Z413" s="49"/>
      <c r="AA413" s="49">
        <v>0</v>
      </c>
      <c r="AB413" s="49">
        <v>60082500</v>
      </c>
      <c r="AC413" s="49">
        <f t="shared" si="103"/>
        <v>0</v>
      </c>
      <c r="AD413" s="49">
        <f>AA413+T413+M413</f>
        <v>37482500</v>
      </c>
      <c r="AE413" s="49">
        <v>10750000</v>
      </c>
      <c r="AF413" s="49">
        <v>0</v>
      </c>
      <c r="AG413" s="49">
        <v>0</v>
      </c>
      <c r="AH413" s="49"/>
      <c r="AI413" s="49"/>
      <c r="AJ413" s="49"/>
      <c r="AK413" s="49">
        <f>Z413+Y413+X413+W413+N413+AG413+AJ413+AI413+AH413+10750000</f>
        <v>23650000</v>
      </c>
      <c r="AL413" s="49">
        <f>AK413/AD413*100</f>
        <v>63.096111518708732</v>
      </c>
      <c r="AM413" s="49"/>
      <c r="AN413" s="49">
        <v>0</v>
      </c>
      <c r="AO413" s="49"/>
      <c r="AP413" s="42">
        <v>36432500</v>
      </c>
      <c r="AQ413" s="49">
        <f>AK413+AM413+AN413+AO413+AP413</f>
        <v>60082500</v>
      </c>
      <c r="AR413" s="49">
        <f>AQ413/AB413*100</f>
        <v>100</v>
      </c>
      <c r="AS413" s="49">
        <f t="shared" si="99"/>
        <v>0</v>
      </c>
      <c r="AT413" s="49">
        <v>3091500</v>
      </c>
      <c r="AU413" s="49">
        <f>AT413+U413</f>
        <v>40574000</v>
      </c>
      <c r="AV413" s="49">
        <f>AK413</f>
        <v>23650000</v>
      </c>
      <c r="AW413" s="72">
        <f>AV413/AU413*100</f>
        <v>58.288559175826883</v>
      </c>
      <c r="AX413" s="49">
        <f>AU413-AV413</f>
        <v>16924000</v>
      </c>
      <c r="AY413" s="49">
        <f t="shared" si="96"/>
        <v>0</v>
      </c>
      <c r="AZ413" s="73">
        <f t="shared" si="98"/>
        <v>60082500</v>
      </c>
    </row>
    <row r="414" spans="1:54" ht="20.100000000000001" hidden="1" customHeight="1">
      <c r="A414" s="68"/>
      <c r="B414" s="69"/>
      <c r="C414" s="240" t="s">
        <v>596</v>
      </c>
      <c r="D414" s="240"/>
      <c r="E414" s="241"/>
      <c r="F414" s="70"/>
      <c r="G414" s="71"/>
      <c r="H414" s="71"/>
      <c r="I414" s="240" t="s">
        <v>402</v>
      </c>
      <c r="J414" s="240"/>
      <c r="K414" s="241"/>
      <c r="L414" s="49"/>
      <c r="M414" s="49"/>
      <c r="N414" s="49"/>
      <c r="O414" s="49"/>
      <c r="P414" s="49"/>
      <c r="Q414" s="49"/>
      <c r="R414" s="72"/>
      <c r="S414" s="49"/>
      <c r="T414" s="49"/>
      <c r="U414" s="49"/>
      <c r="V414" s="49"/>
      <c r="W414" s="49"/>
      <c r="X414" s="77"/>
      <c r="Y414" s="49"/>
      <c r="Z414" s="49"/>
      <c r="AA414" s="49"/>
      <c r="AB414" s="49"/>
      <c r="AC414" s="49">
        <f t="shared" si="103"/>
        <v>0</v>
      </c>
      <c r="AD414" s="49"/>
      <c r="AE414" s="77"/>
      <c r="AF414" s="77"/>
      <c r="AG414" s="49"/>
      <c r="AH414" s="49"/>
      <c r="AI414" s="49"/>
      <c r="AJ414" s="49"/>
      <c r="AK414" s="49"/>
      <c r="AL414" s="49"/>
      <c r="AM414" s="49"/>
      <c r="AN414" s="49"/>
      <c r="AO414" s="49"/>
      <c r="AP414" s="42"/>
      <c r="AQ414" s="49"/>
      <c r="AR414" s="49"/>
      <c r="AS414" s="49"/>
      <c r="AT414" s="49"/>
      <c r="AU414" s="49"/>
      <c r="AV414" s="49"/>
      <c r="AW414" s="49"/>
      <c r="AX414" s="49"/>
      <c r="AY414" s="49"/>
      <c r="AZ414" s="73">
        <f t="shared" si="98"/>
        <v>0</v>
      </c>
    </row>
    <row r="415" spans="1:54" ht="20.100000000000001" hidden="1" customHeight="1">
      <c r="A415" s="68"/>
      <c r="B415" s="69"/>
      <c r="C415" s="240" t="s">
        <v>597</v>
      </c>
      <c r="D415" s="240"/>
      <c r="E415" s="241"/>
      <c r="F415" s="70"/>
      <c r="G415" s="71"/>
      <c r="H415" s="71"/>
      <c r="I415" s="71"/>
      <c r="J415" s="240" t="s">
        <v>404</v>
      </c>
      <c r="K415" s="241"/>
      <c r="L415" s="49">
        <v>100400000</v>
      </c>
      <c r="M415" s="49">
        <v>6400000</v>
      </c>
      <c r="N415" s="49"/>
      <c r="O415" s="49"/>
      <c r="P415" s="49"/>
      <c r="Q415" s="49">
        <f>SUM(N415:P415)</f>
        <v>0</v>
      </c>
      <c r="R415" s="72">
        <f>Q415/M415*100</f>
        <v>0</v>
      </c>
      <c r="S415" s="49">
        <f>M415-Q415</f>
        <v>6400000</v>
      </c>
      <c r="T415" s="49">
        <v>9600000</v>
      </c>
      <c r="U415" s="49">
        <f>T415+M415</f>
        <v>16000000</v>
      </c>
      <c r="V415" s="49">
        <f>T415+S415</f>
        <v>16000000</v>
      </c>
      <c r="W415" s="49"/>
      <c r="X415" s="49"/>
      <c r="Y415" s="49"/>
      <c r="Z415" s="49"/>
      <c r="AA415" s="49">
        <v>14100000</v>
      </c>
      <c r="AB415" s="49">
        <v>44100000</v>
      </c>
      <c r="AC415" s="49">
        <f t="shared" si="103"/>
        <v>-56300000</v>
      </c>
      <c r="AD415" s="49">
        <f>AA415+T415+M415</f>
        <v>30100000</v>
      </c>
      <c r="AE415" s="49"/>
      <c r="AF415" s="49"/>
      <c r="AG415" s="49"/>
      <c r="AH415" s="49"/>
      <c r="AI415" s="49"/>
      <c r="AJ415" s="49">
        <v>0</v>
      </c>
      <c r="AK415" s="49">
        <f>Z415+Y415+X415+W415+N415+AG415+AJ415+AI415+AH415</f>
        <v>0</v>
      </c>
      <c r="AL415" s="49">
        <f>AK415/AD415*100</f>
        <v>0</v>
      </c>
      <c r="AM415" s="49"/>
      <c r="AN415" s="49">
        <v>4500000</v>
      </c>
      <c r="AO415" s="49"/>
      <c r="AP415" s="42"/>
      <c r="AQ415" s="49">
        <f>AK415+AM415+AN415+AO415+AP415</f>
        <v>4500000</v>
      </c>
      <c r="AR415" s="49">
        <f>AQ415/AB415*100</f>
        <v>10.204081632653061</v>
      </c>
      <c r="AS415" s="49">
        <f t="shared" si="99"/>
        <v>39600000</v>
      </c>
      <c r="AT415" s="49">
        <v>3091500</v>
      </c>
      <c r="AU415" s="49">
        <f>AT415+U415</f>
        <v>19091500</v>
      </c>
      <c r="AV415" s="49">
        <f>AK415</f>
        <v>0</v>
      </c>
      <c r="AW415" s="72">
        <f>AV415/AU415*100</f>
        <v>0</v>
      </c>
      <c r="AX415" s="49">
        <f>AU415-AV415</f>
        <v>19091500</v>
      </c>
      <c r="AY415" s="49">
        <f t="shared" si="96"/>
        <v>89.795918367346943</v>
      </c>
      <c r="AZ415" s="73">
        <f t="shared" si="98"/>
        <v>4500000</v>
      </c>
    </row>
    <row r="416" spans="1:54" ht="20.100000000000001" customHeight="1">
      <c r="A416" s="60" t="s">
        <v>598</v>
      </c>
      <c r="B416" s="75"/>
      <c r="C416" s="247" t="s">
        <v>599</v>
      </c>
      <c r="D416" s="247"/>
      <c r="E416" s="248"/>
      <c r="F416" s="249" t="s">
        <v>33</v>
      </c>
      <c r="G416" s="250"/>
      <c r="H416" s="250"/>
      <c r="I416" s="250"/>
      <c r="J416" s="250"/>
      <c r="K416" s="251"/>
      <c r="L416" s="48">
        <f>L417</f>
        <v>77606000</v>
      </c>
      <c r="M416" s="48">
        <f>M417</f>
        <v>0</v>
      </c>
      <c r="N416" s="48">
        <f>N417</f>
        <v>0</v>
      </c>
      <c r="O416" s="48">
        <f>O417</f>
        <v>0</v>
      </c>
      <c r="P416" s="48">
        <f>P417</f>
        <v>0</v>
      </c>
      <c r="Q416" s="48">
        <f>SUM(N416:P416)</f>
        <v>0</v>
      </c>
      <c r="R416" s="61"/>
      <c r="S416" s="48">
        <f>M416-Q416</f>
        <v>0</v>
      </c>
      <c r="T416" s="48">
        <f>T417</f>
        <v>3054000</v>
      </c>
      <c r="U416" s="48">
        <f>T416+M416</f>
        <v>3054000</v>
      </c>
      <c r="V416" s="48">
        <f>T416+S416</f>
        <v>3054000</v>
      </c>
      <c r="W416" s="48">
        <f>W417</f>
        <v>0</v>
      </c>
      <c r="X416" s="48">
        <f>X417</f>
        <v>0</v>
      </c>
      <c r="Y416" s="48">
        <f>Y417</f>
        <v>0</v>
      </c>
      <c r="Z416" s="48"/>
      <c r="AA416" s="48">
        <f>AA417</f>
        <v>74552000</v>
      </c>
      <c r="AB416" s="48">
        <f>AB417</f>
        <v>77606000</v>
      </c>
      <c r="AC416" s="48">
        <f t="shared" si="103"/>
        <v>0</v>
      </c>
      <c r="AD416" s="48">
        <f>AA416+T416+M416</f>
        <v>77606000</v>
      </c>
      <c r="AE416" s="48">
        <f t="shared" ref="AE416:AK416" si="106">AE417</f>
        <v>0</v>
      </c>
      <c r="AF416" s="48">
        <f t="shared" si="106"/>
        <v>0</v>
      </c>
      <c r="AG416" s="48">
        <f t="shared" si="106"/>
        <v>0</v>
      </c>
      <c r="AH416" s="48">
        <f t="shared" si="106"/>
        <v>0</v>
      </c>
      <c r="AI416" s="48">
        <f t="shared" si="106"/>
        <v>0</v>
      </c>
      <c r="AJ416" s="48">
        <f t="shared" si="106"/>
        <v>55002735</v>
      </c>
      <c r="AK416" s="48">
        <f t="shared" si="106"/>
        <v>55002735</v>
      </c>
      <c r="AL416" s="48">
        <f>AK416/AB416*100</f>
        <v>70.874333170115705</v>
      </c>
      <c r="AM416" s="48">
        <f>AM417</f>
        <v>0</v>
      </c>
      <c r="AN416" s="48">
        <f>AN417</f>
        <v>19890000</v>
      </c>
      <c r="AO416" s="48">
        <f>AO417</f>
        <v>0</v>
      </c>
      <c r="AP416" s="48">
        <f>AP417</f>
        <v>0</v>
      </c>
      <c r="AQ416" s="48">
        <f>AK416+AM416+AN416+AO416+AP416</f>
        <v>74892735</v>
      </c>
      <c r="AR416" s="48">
        <f>AQ416/AB416*100</f>
        <v>96.503794809679661</v>
      </c>
      <c r="AS416" s="48">
        <f>AB416-AQ416</f>
        <v>2713265</v>
      </c>
      <c r="AT416" s="48">
        <v>120767500</v>
      </c>
      <c r="AU416" s="48">
        <f>AT416+U416</f>
        <v>123821500</v>
      </c>
      <c r="AV416" s="48">
        <f>AK416</f>
        <v>55002735</v>
      </c>
      <c r="AW416" s="61">
        <f>AV416/AU416*100</f>
        <v>44.42098908509427</v>
      </c>
      <c r="AX416" s="48">
        <f>AU416-AV416</f>
        <v>68818765</v>
      </c>
      <c r="AY416" s="48">
        <f>AS416/AB416*100</f>
        <v>3.4962051903203362</v>
      </c>
      <c r="AZ416" s="73">
        <f t="shared" si="98"/>
        <v>74892735</v>
      </c>
    </row>
    <row r="417" spans="1:53" ht="20.100000000000001" customHeight="1">
      <c r="A417" s="62">
        <v>27</v>
      </c>
      <c r="B417" s="63"/>
      <c r="C417" s="242" t="s">
        <v>600</v>
      </c>
      <c r="D417" s="242"/>
      <c r="E417" s="243"/>
      <c r="F417" s="64"/>
      <c r="G417" s="244" t="s">
        <v>601</v>
      </c>
      <c r="H417" s="244"/>
      <c r="I417" s="244"/>
      <c r="J417" s="244"/>
      <c r="K417" s="245"/>
      <c r="L417" s="65">
        <f>SUM(L420:L442)</f>
        <v>77606000</v>
      </c>
      <c r="M417" s="65">
        <f>SUM(M420:M442)</f>
        <v>0</v>
      </c>
      <c r="N417" s="65">
        <f>SUM(N420:N442)</f>
        <v>0</v>
      </c>
      <c r="O417" s="65">
        <f>SUM(O420:O442)</f>
        <v>0</v>
      </c>
      <c r="P417" s="65">
        <f>SUM(P420:P442)</f>
        <v>0</v>
      </c>
      <c r="Q417" s="65">
        <f>SUM(N417:P417)</f>
        <v>0</v>
      </c>
      <c r="R417" s="66"/>
      <c r="S417" s="65">
        <f>M417-Q417</f>
        <v>0</v>
      </c>
      <c r="T417" s="65">
        <f>SUM(T420:T442)</f>
        <v>3054000</v>
      </c>
      <c r="U417" s="65">
        <f>T417+M417</f>
        <v>3054000</v>
      </c>
      <c r="V417" s="65">
        <f>T417+S417</f>
        <v>3054000</v>
      </c>
      <c r="W417" s="65">
        <f>SUM(W420:W442)</f>
        <v>0</v>
      </c>
      <c r="X417" s="65">
        <f>SUM(X420:X442)</f>
        <v>0</v>
      </c>
      <c r="Y417" s="65">
        <f>SUM(Y420:Y442)</f>
        <v>0</v>
      </c>
      <c r="Z417" s="65"/>
      <c r="AA417" s="65">
        <f>SUM(AA420:AA442)</f>
        <v>74552000</v>
      </c>
      <c r="AB417" s="65">
        <f>SUM(AB420:AB442)</f>
        <v>77606000</v>
      </c>
      <c r="AC417" s="65">
        <f t="shared" si="103"/>
        <v>0</v>
      </c>
      <c r="AD417" s="65">
        <f>AA417+T417+M417</f>
        <v>77606000</v>
      </c>
      <c r="AE417" s="65">
        <f t="shared" ref="AE417:AK417" si="107">SUM(AE420:AE442)</f>
        <v>0</v>
      </c>
      <c r="AF417" s="65">
        <f t="shared" si="107"/>
        <v>0</v>
      </c>
      <c r="AG417" s="65">
        <f t="shared" si="107"/>
        <v>0</v>
      </c>
      <c r="AH417" s="65">
        <f t="shared" si="107"/>
        <v>0</v>
      </c>
      <c r="AI417" s="65">
        <f t="shared" si="107"/>
        <v>0</v>
      </c>
      <c r="AJ417" s="65">
        <f>AJ420+AJ423+AJ425+AJ426+AJ428+AJ430+AJ432+AJ434+AJ439+AJ442</f>
        <v>55002735</v>
      </c>
      <c r="AK417" s="65">
        <f t="shared" si="107"/>
        <v>55002735</v>
      </c>
      <c r="AL417" s="65">
        <f>AK417/AB417*100</f>
        <v>70.874333170115705</v>
      </c>
      <c r="AM417" s="65">
        <f>SUM(AM420:AM442)</f>
        <v>0</v>
      </c>
      <c r="AN417" s="65">
        <f>SUM(AN420:AN442)</f>
        <v>19890000</v>
      </c>
      <c r="AO417" s="65">
        <f>SUM(AO420:AO442)</f>
        <v>0</v>
      </c>
      <c r="AP417" s="65">
        <f>SUM(AP420:AP442)</f>
        <v>0</v>
      </c>
      <c r="AQ417" s="65">
        <f>AK417+AM417+AN417+AO417+AP417</f>
        <v>74892735</v>
      </c>
      <c r="AR417" s="65">
        <f>AQ417/AB417*100</f>
        <v>96.503794809679661</v>
      </c>
      <c r="AS417" s="65">
        <f>AB417-AQ417</f>
        <v>2713265</v>
      </c>
      <c r="AT417" s="65">
        <f>SUM(AT420:AT426)</f>
        <v>12366000</v>
      </c>
      <c r="AU417" s="65">
        <f>AT417+U417</f>
        <v>15420000</v>
      </c>
      <c r="AV417" s="65">
        <f>AK417</f>
        <v>55002735</v>
      </c>
      <c r="AW417" s="66">
        <f>AV417/AU417*100</f>
        <v>356.69737354085601</v>
      </c>
      <c r="AX417" s="65">
        <f>AU417-AV417</f>
        <v>-39582735</v>
      </c>
      <c r="AY417" s="65">
        <f>AS417/AB417*100</f>
        <v>3.4962051903203362</v>
      </c>
      <c r="AZ417" s="67">
        <f t="shared" si="98"/>
        <v>74892735</v>
      </c>
      <c r="BA417" s="29">
        <f>AS417</f>
        <v>2713265</v>
      </c>
    </row>
    <row r="418" spans="1:53" ht="20.100000000000001" hidden="1" customHeight="1">
      <c r="A418" s="68"/>
      <c r="B418" s="69"/>
      <c r="C418" s="240" t="s">
        <v>602</v>
      </c>
      <c r="D418" s="240"/>
      <c r="E418" s="241"/>
      <c r="F418" s="70"/>
      <c r="G418" s="71"/>
      <c r="H418" s="240" t="s">
        <v>10</v>
      </c>
      <c r="I418" s="240"/>
      <c r="J418" s="240"/>
      <c r="K418" s="241"/>
      <c r="L418" s="49"/>
      <c r="M418" s="49"/>
      <c r="N418" s="49"/>
      <c r="O418" s="49"/>
      <c r="P418" s="49"/>
      <c r="Q418" s="49"/>
      <c r="R418" s="72"/>
      <c r="S418" s="49"/>
      <c r="T418" s="49"/>
      <c r="U418" s="49"/>
      <c r="V418" s="49"/>
      <c r="W418" s="49"/>
      <c r="X418" s="49"/>
      <c r="Y418" s="49"/>
      <c r="Z418" s="49"/>
      <c r="AA418" s="49"/>
      <c r="AB418" s="49"/>
      <c r="AC418" s="49">
        <f t="shared" si="103"/>
        <v>0</v>
      </c>
      <c r="AD418" s="49"/>
      <c r="AE418" s="49"/>
      <c r="AF418" s="49"/>
      <c r="AG418" s="49"/>
      <c r="AH418" s="49"/>
      <c r="AI418" s="49"/>
      <c r="AJ418" s="49"/>
      <c r="AK418" s="49"/>
      <c r="AL418" s="49"/>
      <c r="AM418" s="49"/>
      <c r="AN418" s="49"/>
      <c r="AO418" s="49"/>
      <c r="AP418" s="49"/>
      <c r="AQ418" s="49"/>
      <c r="AR418" s="49"/>
      <c r="AS418" s="49"/>
      <c r="AT418" s="49"/>
      <c r="AU418" s="49"/>
      <c r="AV418" s="49"/>
      <c r="AW418" s="49"/>
      <c r="AX418" s="49"/>
      <c r="AY418" s="49"/>
      <c r="AZ418" s="73">
        <f t="shared" si="98"/>
        <v>0</v>
      </c>
    </row>
    <row r="419" spans="1:53" ht="20.100000000000001" hidden="1" customHeight="1">
      <c r="A419" s="68"/>
      <c r="B419" s="69"/>
      <c r="C419" s="240" t="s">
        <v>603</v>
      </c>
      <c r="D419" s="240"/>
      <c r="E419" s="241"/>
      <c r="F419" s="70"/>
      <c r="G419" s="71"/>
      <c r="H419" s="71"/>
      <c r="I419" s="240" t="s">
        <v>177</v>
      </c>
      <c r="J419" s="240"/>
      <c r="K419" s="241"/>
      <c r="L419" s="49"/>
      <c r="M419" s="49"/>
      <c r="N419" s="49"/>
      <c r="O419" s="49"/>
      <c r="P419" s="49"/>
      <c r="Q419" s="49"/>
      <c r="R419" s="72"/>
      <c r="S419" s="49"/>
      <c r="T419" s="49"/>
      <c r="U419" s="49"/>
      <c r="V419" s="49"/>
      <c r="W419" s="49"/>
      <c r="X419" s="49"/>
      <c r="Y419" s="49"/>
      <c r="Z419" s="49"/>
      <c r="AA419" s="49"/>
      <c r="AB419" s="49"/>
      <c r="AC419" s="49">
        <f t="shared" si="103"/>
        <v>0</v>
      </c>
      <c r="AD419" s="49"/>
      <c r="AE419" s="49"/>
      <c r="AF419" s="49"/>
      <c r="AG419" s="49"/>
      <c r="AH419" s="49"/>
      <c r="AI419" s="49"/>
      <c r="AJ419" s="49"/>
      <c r="AK419" s="49"/>
      <c r="AL419" s="49"/>
      <c r="AM419" s="49"/>
      <c r="AN419" s="49"/>
      <c r="AO419" s="49"/>
      <c r="AP419" s="49"/>
      <c r="AQ419" s="49"/>
      <c r="AR419" s="49"/>
      <c r="AS419" s="49"/>
      <c r="AT419" s="49"/>
      <c r="AU419" s="49"/>
      <c r="AV419" s="49"/>
      <c r="AW419" s="49"/>
      <c r="AX419" s="49"/>
      <c r="AY419" s="49"/>
      <c r="AZ419" s="73">
        <f t="shared" si="98"/>
        <v>0</v>
      </c>
    </row>
    <row r="420" spans="1:53" ht="20.100000000000001" hidden="1" customHeight="1">
      <c r="A420" s="68"/>
      <c r="B420" s="69"/>
      <c r="C420" s="240" t="s">
        <v>604</v>
      </c>
      <c r="D420" s="240"/>
      <c r="E420" s="241"/>
      <c r="F420" s="70"/>
      <c r="G420" s="71"/>
      <c r="H420" s="71"/>
      <c r="I420" s="71"/>
      <c r="J420" s="240" t="s">
        <v>283</v>
      </c>
      <c r="K420" s="241"/>
      <c r="L420" s="49">
        <v>7650000</v>
      </c>
      <c r="M420" s="49">
        <v>0</v>
      </c>
      <c r="N420" s="49"/>
      <c r="O420" s="49"/>
      <c r="P420" s="49"/>
      <c r="Q420" s="49">
        <f>SUM(N420:P420)</f>
        <v>0</v>
      </c>
      <c r="R420" s="72"/>
      <c r="S420" s="49">
        <f>M420-Q420</f>
        <v>0</v>
      </c>
      <c r="T420" s="49">
        <v>0</v>
      </c>
      <c r="U420" s="49">
        <f>T420+M420</f>
        <v>0</v>
      </c>
      <c r="V420" s="49">
        <f>T420+S420</f>
        <v>0</v>
      </c>
      <c r="W420" s="49"/>
      <c r="X420" s="49"/>
      <c r="Y420" s="49"/>
      <c r="Z420" s="49"/>
      <c r="AA420" s="49">
        <v>7650000</v>
      </c>
      <c r="AB420" s="49">
        <v>7650000</v>
      </c>
      <c r="AC420" s="49">
        <f t="shared" si="103"/>
        <v>0</v>
      </c>
      <c r="AD420" s="49">
        <f>AA420+T420+M420</f>
        <v>7650000</v>
      </c>
      <c r="AE420" s="49"/>
      <c r="AF420" s="49"/>
      <c r="AG420" s="49"/>
      <c r="AH420" s="49"/>
      <c r="AI420" s="49"/>
      <c r="AJ420" s="49">
        <v>7650000</v>
      </c>
      <c r="AK420" s="49">
        <f>Z420+Y420+X420+W420+N420+AG420+AJ420+AI420+AH420</f>
        <v>7650000</v>
      </c>
      <c r="AL420" s="49">
        <f>AK420/AD420*100</f>
        <v>100</v>
      </c>
      <c r="AM420" s="49"/>
      <c r="AN420" s="49"/>
      <c r="AO420" s="49"/>
      <c r="AP420" s="49"/>
      <c r="AQ420" s="49">
        <f>AK420+AM420+AN420+AO420+AP420</f>
        <v>7650000</v>
      </c>
      <c r="AR420" s="49">
        <f>AQ420/AB420*100</f>
        <v>100</v>
      </c>
      <c r="AS420" s="49">
        <f>AB420-AQ420</f>
        <v>0</v>
      </c>
      <c r="AT420" s="49">
        <v>3091500</v>
      </c>
      <c r="AU420" s="49">
        <f>AT420+U420</f>
        <v>3091500</v>
      </c>
      <c r="AV420" s="49">
        <f>AK420</f>
        <v>7650000</v>
      </c>
      <c r="AW420" s="72">
        <f>AV420/AU420*100</f>
        <v>247.45269286754001</v>
      </c>
      <c r="AX420" s="49">
        <f>AU420-AV420</f>
        <v>-4558500</v>
      </c>
      <c r="AY420" s="49">
        <f>AS420/AB420*100</f>
        <v>0</v>
      </c>
      <c r="AZ420" s="73">
        <f t="shared" ref="AZ420:AZ483" si="108">AQ420-AO420</f>
        <v>7650000</v>
      </c>
    </row>
    <row r="421" spans="1:53" ht="20.100000000000001" hidden="1" customHeight="1">
      <c r="A421" s="68"/>
      <c r="B421" s="69"/>
      <c r="C421" s="240" t="s">
        <v>605</v>
      </c>
      <c r="D421" s="240"/>
      <c r="E421" s="241"/>
      <c r="F421" s="70"/>
      <c r="G421" s="71"/>
      <c r="H421" s="240" t="s">
        <v>143</v>
      </c>
      <c r="I421" s="240"/>
      <c r="J421" s="240"/>
      <c r="K421" s="241"/>
      <c r="L421" s="49"/>
      <c r="M421" s="49"/>
      <c r="N421" s="49"/>
      <c r="O421" s="49"/>
      <c r="P421" s="49"/>
      <c r="Q421" s="49"/>
      <c r="R421" s="72"/>
      <c r="S421" s="49"/>
      <c r="T421" s="49"/>
      <c r="U421" s="49"/>
      <c r="V421" s="49"/>
      <c r="W421" s="49"/>
      <c r="X421" s="49"/>
      <c r="Y421" s="49"/>
      <c r="Z421" s="49"/>
      <c r="AA421" s="49"/>
      <c r="AB421" s="49"/>
      <c r="AC421" s="49">
        <f t="shared" si="103"/>
        <v>0</v>
      </c>
      <c r="AD421" s="49"/>
      <c r="AE421" s="49"/>
      <c r="AF421" s="49"/>
      <c r="AG421" s="49"/>
      <c r="AH421" s="49"/>
      <c r="AI421" s="49"/>
      <c r="AJ421" s="49"/>
      <c r="AK421" s="49"/>
      <c r="AL421" s="49"/>
      <c r="AM421" s="49"/>
      <c r="AN421" s="49"/>
      <c r="AO421" s="49"/>
      <c r="AP421" s="49"/>
      <c r="AQ421" s="49"/>
      <c r="AR421" s="49"/>
      <c r="AS421" s="49"/>
      <c r="AT421" s="49"/>
      <c r="AU421" s="49"/>
      <c r="AV421" s="49"/>
      <c r="AW421" s="49"/>
      <c r="AX421" s="49"/>
      <c r="AY421" s="49"/>
      <c r="AZ421" s="73">
        <f t="shared" si="108"/>
        <v>0</v>
      </c>
    </row>
    <row r="422" spans="1:53" ht="20.100000000000001" hidden="1" customHeight="1">
      <c r="A422" s="68"/>
      <c r="B422" s="69"/>
      <c r="C422" s="240" t="s">
        <v>606</v>
      </c>
      <c r="D422" s="240"/>
      <c r="E422" s="241"/>
      <c r="F422" s="70"/>
      <c r="G422" s="71"/>
      <c r="H422" s="71"/>
      <c r="I422" s="240" t="s">
        <v>145</v>
      </c>
      <c r="J422" s="240"/>
      <c r="K422" s="241"/>
      <c r="L422" s="49"/>
      <c r="M422" s="49"/>
      <c r="N422" s="49"/>
      <c r="O422" s="49"/>
      <c r="P422" s="49"/>
      <c r="Q422" s="49"/>
      <c r="R422" s="72"/>
      <c r="S422" s="49"/>
      <c r="T422" s="49"/>
      <c r="U422" s="49"/>
      <c r="V422" s="49"/>
      <c r="W422" s="49"/>
      <c r="X422" s="49"/>
      <c r="Y422" s="49"/>
      <c r="Z422" s="49"/>
      <c r="AA422" s="49"/>
      <c r="AB422" s="49"/>
      <c r="AC422" s="49">
        <f t="shared" si="103"/>
        <v>0</v>
      </c>
      <c r="AD422" s="49"/>
      <c r="AE422" s="49"/>
      <c r="AF422" s="49"/>
      <c r="AG422" s="49"/>
      <c r="AH422" s="49"/>
      <c r="AI422" s="49"/>
      <c r="AJ422" s="49"/>
      <c r="AK422" s="49"/>
      <c r="AL422" s="49"/>
      <c r="AM422" s="49"/>
      <c r="AN422" s="49"/>
      <c r="AO422" s="49"/>
      <c r="AP422" s="49"/>
      <c r="AQ422" s="49"/>
      <c r="AR422" s="49"/>
      <c r="AS422" s="49"/>
      <c r="AT422" s="49"/>
      <c r="AU422" s="49"/>
      <c r="AV422" s="49"/>
      <c r="AW422" s="49"/>
      <c r="AX422" s="49"/>
      <c r="AY422" s="49"/>
      <c r="AZ422" s="73">
        <f t="shared" si="108"/>
        <v>0</v>
      </c>
    </row>
    <row r="423" spans="1:53" ht="20.100000000000001" hidden="1" customHeight="1">
      <c r="A423" s="68"/>
      <c r="B423" s="69"/>
      <c r="C423" s="240" t="s">
        <v>607</v>
      </c>
      <c r="D423" s="240"/>
      <c r="E423" s="241"/>
      <c r="F423" s="70"/>
      <c r="G423" s="71"/>
      <c r="H423" s="71"/>
      <c r="I423" s="71"/>
      <c r="J423" s="240" t="s">
        <v>147</v>
      </c>
      <c r="K423" s="241"/>
      <c r="L423" s="49">
        <v>3054000</v>
      </c>
      <c r="M423" s="49">
        <v>0</v>
      </c>
      <c r="N423" s="49"/>
      <c r="O423" s="49"/>
      <c r="P423" s="49"/>
      <c r="Q423" s="49">
        <f>SUM(N423:P423)</f>
        <v>0</v>
      </c>
      <c r="R423" s="72"/>
      <c r="S423" s="49">
        <f>M423-Q423</f>
        <v>0</v>
      </c>
      <c r="T423" s="49">
        <v>3054000</v>
      </c>
      <c r="U423" s="49">
        <f>T423+M423</f>
        <v>3054000</v>
      </c>
      <c r="V423" s="49">
        <f>T423+S423</f>
        <v>3054000</v>
      </c>
      <c r="W423" s="49"/>
      <c r="X423" s="49"/>
      <c r="Y423" s="49"/>
      <c r="Z423" s="49"/>
      <c r="AA423" s="49">
        <v>0</v>
      </c>
      <c r="AB423" s="49">
        <v>3054000</v>
      </c>
      <c r="AC423" s="49">
        <f t="shared" si="103"/>
        <v>0</v>
      </c>
      <c r="AD423" s="49">
        <f>AA423+T423+M423</f>
        <v>3054000</v>
      </c>
      <c r="AE423" s="49"/>
      <c r="AF423" s="49"/>
      <c r="AG423" s="49"/>
      <c r="AH423" s="49"/>
      <c r="AI423" s="49"/>
      <c r="AJ423" s="49">
        <v>3053850</v>
      </c>
      <c r="AK423" s="49">
        <f>Z423+Y423+X423+W423+N423+AG423+AJ423+AI423+AH423</f>
        <v>3053850</v>
      </c>
      <c r="AL423" s="49">
        <f>AK423/AD423*100</f>
        <v>99.995088408644406</v>
      </c>
      <c r="AM423" s="49"/>
      <c r="AN423" s="49"/>
      <c r="AO423" s="49"/>
      <c r="AP423" s="49"/>
      <c r="AQ423" s="49">
        <f>AK423+AM423+AN423+AO423+AP423</f>
        <v>3053850</v>
      </c>
      <c r="AR423" s="49">
        <f>AQ423/AB423*100</f>
        <v>99.995088408644406</v>
      </c>
      <c r="AS423" s="49">
        <f>AB423-AQ423</f>
        <v>150</v>
      </c>
      <c r="AT423" s="49">
        <v>3091500</v>
      </c>
      <c r="AU423" s="49">
        <f>AT423+U423</f>
        <v>6145500</v>
      </c>
      <c r="AV423" s="49">
        <f>AK423</f>
        <v>3053850</v>
      </c>
      <c r="AW423" s="72">
        <f>AV423/AU423*100</f>
        <v>49.69245789602148</v>
      </c>
      <c r="AX423" s="49">
        <f>AU423-AV423</f>
        <v>3091650</v>
      </c>
      <c r="AY423" s="49">
        <f>AS423/AB423*100</f>
        <v>4.911591355599214E-3</v>
      </c>
      <c r="AZ423" s="73">
        <f t="shared" si="108"/>
        <v>3053850</v>
      </c>
    </row>
    <row r="424" spans="1:53" ht="20.100000000000001" hidden="1" customHeight="1">
      <c r="A424" s="68"/>
      <c r="B424" s="69"/>
      <c r="C424" s="240" t="s">
        <v>608</v>
      </c>
      <c r="D424" s="240"/>
      <c r="E424" s="241"/>
      <c r="F424" s="70"/>
      <c r="G424" s="71"/>
      <c r="H424" s="71"/>
      <c r="I424" s="240" t="s">
        <v>389</v>
      </c>
      <c r="J424" s="240"/>
      <c r="K424" s="241"/>
      <c r="L424" s="49"/>
      <c r="M424" s="49"/>
      <c r="N424" s="49"/>
      <c r="O424" s="49"/>
      <c r="P424" s="49"/>
      <c r="Q424" s="49"/>
      <c r="R424" s="72"/>
      <c r="S424" s="49"/>
      <c r="T424" s="49"/>
      <c r="U424" s="49"/>
      <c r="V424" s="49"/>
      <c r="W424" s="49"/>
      <c r="X424" s="49"/>
      <c r="Y424" s="49"/>
      <c r="Z424" s="49"/>
      <c r="AA424" s="49"/>
      <c r="AB424" s="49"/>
      <c r="AC424" s="49">
        <f t="shared" si="103"/>
        <v>0</v>
      </c>
      <c r="AD424" s="49"/>
      <c r="AE424" s="49"/>
      <c r="AF424" s="49"/>
      <c r="AG424" s="49"/>
      <c r="AH424" s="49"/>
      <c r="AI424" s="49"/>
      <c r="AJ424" s="49"/>
      <c r="AK424" s="49"/>
      <c r="AL424" s="49"/>
      <c r="AM424" s="49"/>
      <c r="AN424" s="49"/>
      <c r="AO424" s="49"/>
      <c r="AP424" s="49"/>
      <c r="AQ424" s="49"/>
      <c r="AR424" s="49"/>
      <c r="AS424" s="49"/>
      <c r="AT424" s="49"/>
      <c r="AU424" s="49"/>
      <c r="AV424" s="49"/>
      <c r="AW424" s="49"/>
      <c r="AX424" s="49"/>
      <c r="AY424" s="49"/>
      <c r="AZ424" s="73">
        <f t="shared" si="108"/>
        <v>0</v>
      </c>
    </row>
    <row r="425" spans="1:53" ht="20.100000000000001" hidden="1" customHeight="1">
      <c r="A425" s="68"/>
      <c r="B425" s="69"/>
      <c r="C425" s="240" t="s">
        <v>609</v>
      </c>
      <c r="D425" s="240"/>
      <c r="E425" s="241"/>
      <c r="F425" s="70"/>
      <c r="G425" s="71"/>
      <c r="H425" s="71"/>
      <c r="I425" s="71"/>
      <c r="J425" s="240" t="s">
        <v>610</v>
      </c>
      <c r="K425" s="241"/>
      <c r="L425" s="49">
        <v>400000</v>
      </c>
      <c r="M425" s="49">
        <v>0</v>
      </c>
      <c r="N425" s="49"/>
      <c r="O425" s="49"/>
      <c r="P425" s="49"/>
      <c r="Q425" s="49">
        <f>SUM(N425:P425)</f>
        <v>0</v>
      </c>
      <c r="R425" s="72"/>
      <c r="S425" s="49">
        <f>M425-Q425</f>
        <v>0</v>
      </c>
      <c r="T425" s="49">
        <v>0</v>
      </c>
      <c r="U425" s="49">
        <f>T425+M425</f>
        <v>0</v>
      </c>
      <c r="V425" s="49">
        <f>T425+S425</f>
        <v>0</v>
      </c>
      <c r="W425" s="49"/>
      <c r="X425" s="49"/>
      <c r="Y425" s="49"/>
      <c r="Z425" s="49"/>
      <c r="AA425" s="49">
        <v>400000</v>
      </c>
      <c r="AB425" s="49">
        <v>400000</v>
      </c>
      <c r="AC425" s="49">
        <f t="shared" si="103"/>
        <v>0</v>
      </c>
      <c r="AD425" s="49">
        <f>AA425+T425+M425</f>
        <v>400000</v>
      </c>
      <c r="AE425" s="49"/>
      <c r="AF425" s="49"/>
      <c r="AG425" s="49"/>
      <c r="AH425" s="49"/>
      <c r="AI425" s="49"/>
      <c r="AJ425" s="49">
        <v>400000</v>
      </c>
      <c r="AK425" s="49">
        <f>Z425+Y425+X425+W425+N425+AG425+AJ425+AI425+AH425</f>
        <v>400000</v>
      </c>
      <c r="AL425" s="49">
        <f>AK425/AD425*100</f>
        <v>100</v>
      </c>
      <c r="AM425" s="49"/>
      <c r="AN425" s="49"/>
      <c r="AO425" s="49"/>
      <c r="AP425" s="49"/>
      <c r="AQ425" s="49">
        <f>AK425+AM425+AN425+AO425+AP425</f>
        <v>400000</v>
      </c>
      <c r="AR425" s="49">
        <f>AQ425/AB425*100</f>
        <v>100</v>
      </c>
      <c r="AS425" s="49">
        <f>AB425-AQ425</f>
        <v>0</v>
      </c>
      <c r="AT425" s="49">
        <v>3091500</v>
      </c>
      <c r="AU425" s="49">
        <f>AT425+U425</f>
        <v>3091500</v>
      </c>
      <c r="AV425" s="49">
        <f>AK425</f>
        <v>400000</v>
      </c>
      <c r="AW425" s="72">
        <f>AV425/AU425*100</f>
        <v>12.938702895034773</v>
      </c>
      <c r="AX425" s="49">
        <f>AU425-AV425</f>
        <v>2691500</v>
      </c>
      <c r="AY425" s="49">
        <f>AS425/AB425*100</f>
        <v>0</v>
      </c>
      <c r="AZ425" s="73">
        <f t="shared" si="108"/>
        <v>400000</v>
      </c>
    </row>
    <row r="426" spans="1:53" ht="20.100000000000001" hidden="1" customHeight="1">
      <c r="A426" s="68"/>
      <c r="B426" s="69"/>
      <c r="C426" s="240" t="s">
        <v>611</v>
      </c>
      <c r="D426" s="240"/>
      <c r="E426" s="241"/>
      <c r="F426" s="70"/>
      <c r="G426" s="71"/>
      <c r="H426" s="71"/>
      <c r="I426" s="71"/>
      <c r="J426" s="240" t="s">
        <v>391</v>
      </c>
      <c r="K426" s="241"/>
      <c r="L426" s="49">
        <v>11962000</v>
      </c>
      <c r="M426" s="49">
        <v>0</v>
      </c>
      <c r="N426" s="49"/>
      <c r="O426" s="49"/>
      <c r="P426" s="49"/>
      <c r="Q426" s="49">
        <f>SUM(N426:P426)</f>
        <v>0</v>
      </c>
      <c r="R426" s="72"/>
      <c r="S426" s="49">
        <f>M426-Q426</f>
        <v>0</v>
      </c>
      <c r="T426" s="49">
        <v>0</v>
      </c>
      <c r="U426" s="49">
        <f>T426+M426</f>
        <v>0</v>
      </c>
      <c r="V426" s="49">
        <f>T426+S426</f>
        <v>0</v>
      </c>
      <c r="W426" s="49"/>
      <c r="X426" s="49"/>
      <c r="Y426" s="49"/>
      <c r="Z426" s="49"/>
      <c r="AA426" s="49">
        <v>11962000</v>
      </c>
      <c r="AB426" s="49">
        <v>11962000</v>
      </c>
      <c r="AC426" s="49">
        <f t="shared" si="103"/>
        <v>0</v>
      </c>
      <c r="AD426" s="49">
        <f>AA426+T426+M426</f>
        <v>11962000</v>
      </c>
      <c r="AE426" s="49"/>
      <c r="AF426" s="49"/>
      <c r="AG426" s="49"/>
      <c r="AH426" s="49"/>
      <c r="AI426" s="49"/>
      <c r="AJ426" s="49">
        <v>2133885</v>
      </c>
      <c r="AK426" s="49">
        <f>Z426+Y426+X426+W426+N426+AG426+AJ426+AI426+AH426</f>
        <v>2133885</v>
      </c>
      <c r="AL426" s="49">
        <f>AK426/AD426*100</f>
        <v>17.838864738338071</v>
      </c>
      <c r="AM426" s="49"/>
      <c r="AN426" s="42">
        <v>9800000</v>
      </c>
      <c r="AO426" s="49"/>
      <c r="AP426" s="49"/>
      <c r="AQ426" s="49">
        <f>AK426+AM426+AN426+AO426+AP426</f>
        <v>11933885</v>
      </c>
      <c r="AR426" s="49">
        <f>AQ426/AB426*100</f>
        <v>99.764964052833975</v>
      </c>
      <c r="AS426" s="49">
        <f>AB426-AQ426</f>
        <v>28115</v>
      </c>
      <c r="AT426" s="49">
        <v>3091500</v>
      </c>
      <c r="AU426" s="49">
        <f>AT426+U426</f>
        <v>3091500</v>
      </c>
      <c r="AV426" s="49">
        <f>AK426</f>
        <v>2133885</v>
      </c>
      <c r="AW426" s="72">
        <f>AV426/AU426*100</f>
        <v>69.024260067928196</v>
      </c>
      <c r="AX426" s="49">
        <f>AU426-AV426</f>
        <v>957615</v>
      </c>
      <c r="AY426" s="49">
        <f>AS426/AB426*100</f>
        <v>0.23503594716602574</v>
      </c>
      <c r="AZ426" s="73">
        <f t="shared" si="108"/>
        <v>11933885</v>
      </c>
    </row>
    <row r="427" spans="1:53" ht="20.100000000000001" hidden="1" customHeight="1">
      <c r="A427" s="68"/>
      <c r="B427" s="69"/>
      <c r="C427" s="240" t="s">
        <v>612</v>
      </c>
      <c r="D427" s="240"/>
      <c r="E427" s="241"/>
      <c r="F427" s="70"/>
      <c r="G427" s="71"/>
      <c r="H427" s="71"/>
      <c r="I427" s="240" t="s">
        <v>163</v>
      </c>
      <c r="J427" s="240"/>
      <c r="K427" s="241"/>
      <c r="L427" s="49"/>
      <c r="M427" s="49"/>
      <c r="N427" s="49"/>
      <c r="O427" s="49"/>
      <c r="P427" s="49"/>
      <c r="Q427" s="49"/>
      <c r="R427" s="72"/>
      <c r="S427" s="49"/>
      <c r="T427" s="49"/>
      <c r="U427" s="49"/>
      <c r="V427" s="49"/>
      <c r="W427" s="49"/>
      <c r="X427" s="49"/>
      <c r="Y427" s="49"/>
      <c r="Z427" s="49"/>
      <c r="AA427" s="49"/>
      <c r="AB427" s="49"/>
      <c r="AC427" s="49">
        <f t="shared" si="103"/>
        <v>0</v>
      </c>
      <c r="AD427" s="49"/>
      <c r="AE427" s="49"/>
      <c r="AF427" s="49"/>
      <c r="AG427" s="49"/>
      <c r="AH427" s="49"/>
      <c r="AI427" s="49"/>
      <c r="AJ427" s="49"/>
      <c r="AK427" s="49"/>
      <c r="AL427" s="49"/>
      <c r="AM427" s="49"/>
      <c r="AN427" s="49"/>
      <c r="AO427" s="49"/>
      <c r="AP427" s="49"/>
      <c r="AQ427" s="49"/>
      <c r="AR427" s="49"/>
      <c r="AS427" s="49"/>
      <c r="AT427" s="49"/>
      <c r="AU427" s="49"/>
      <c r="AV427" s="49"/>
      <c r="AW427" s="49"/>
      <c r="AX427" s="49"/>
      <c r="AY427" s="49"/>
      <c r="AZ427" s="73">
        <f t="shared" si="108"/>
        <v>0</v>
      </c>
    </row>
    <row r="428" spans="1:53" ht="20.100000000000001" hidden="1" customHeight="1">
      <c r="A428" s="68"/>
      <c r="B428" s="69"/>
      <c r="C428" s="240" t="s">
        <v>613</v>
      </c>
      <c r="D428" s="240"/>
      <c r="E428" s="241"/>
      <c r="F428" s="70"/>
      <c r="G428" s="71"/>
      <c r="H428" s="71"/>
      <c r="I428" s="71"/>
      <c r="J428" s="240" t="s">
        <v>349</v>
      </c>
      <c r="K428" s="241"/>
      <c r="L428" s="49">
        <v>500000</v>
      </c>
      <c r="M428" s="49">
        <v>0</v>
      </c>
      <c r="N428" s="49"/>
      <c r="O428" s="49"/>
      <c r="P428" s="49"/>
      <c r="Q428" s="49">
        <f>SUM(N428:P428)</f>
        <v>0</v>
      </c>
      <c r="R428" s="72"/>
      <c r="S428" s="49">
        <f>M428-Q428</f>
        <v>0</v>
      </c>
      <c r="T428" s="49">
        <v>0</v>
      </c>
      <c r="U428" s="49">
        <f>T428+M428</f>
        <v>0</v>
      </c>
      <c r="V428" s="49">
        <f>T428+S428</f>
        <v>0</v>
      </c>
      <c r="W428" s="49"/>
      <c r="X428" s="49"/>
      <c r="Y428" s="49"/>
      <c r="Z428" s="49"/>
      <c r="AA428" s="49">
        <v>500000</v>
      </c>
      <c r="AB428" s="49">
        <v>500000</v>
      </c>
      <c r="AC428" s="49">
        <f t="shared" si="103"/>
        <v>0</v>
      </c>
      <c r="AD428" s="49">
        <f>AA428+T428+M428</f>
        <v>500000</v>
      </c>
      <c r="AE428" s="49"/>
      <c r="AF428" s="49"/>
      <c r="AG428" s="49"/>
      <c r="AH428" s="49"/>
      <c r="AI428" s="49"/>
      <c r="AJ428" s="49">
        <v>500000</v>
      </c>
      <c r="AK428" s="49">
        <f>Z428+Y428+X428+W428+N428+AG428+AJ428+AI428+AH428</f>
        <v>500000</v>
      </c>
      <c r="AL428" s="49">
        <f>AK428/AD428*100</f>
        <v>100</v>
      </c>
      <c r="AM428" s="49"/>
      <c r="AN428" s="49"/>
      <c r="AO428" s="49"/>
      <c r="AP428" s="49"/>
      <c r="AQ428" s="49">
        <f>AK428+AM428+AN428+AO428+AP428</f>
        <v>500000</v>
      </c>
      <c r="AR428" s="49">
        <f>AQ428/AB428*100</f>
        <v>100</v>
      </c>
      <c r="AS428" s="49">
        <f>AB428-AQ428</f>
        <v>0</v>
      </c>
      <c r="AT428" s="49">
        <v>3091500</v>
      </c>
      <c r="AU428" s="49">
        <f>AT428+U428</f>
        <v>3091500</v>
      </c>
      <c r="AV428" s="49">
        <f>AK428</f>
        <v>500000</v>
      </c>
      <c r="AW428" s="72">
        <f>AV428/AU428*100</f>
        <v>16.173378618793464</v>
      </c>
      <c r="AX428" s="49">
        <f>AU428-AV428</f>
        <v>2591500</v>
      </c>
      <c r="AY428" s="49">
        <f>AS428/AB428*100</f>
        <v>0</v>
      </c>
      <c r="AZ428" s="73">
        <f t="shared" si="108"/>
        <v>500000</v>
      </c>
    </row>
    <row r="429" spans="1:53" ht="20.100000000000001" hidden="1" customHeight="1">
      <c r="A429" s="68"/>
      <c r="B429" s="69"/>
      <c r="C429" s="240" t="s">
        <v>614</v>
      </c>
      <c r="D429" s="240"/>
      <c r="E429" s="241"/>
      <c r="F429" s="70"/>
      <c r="G429" s="71"/>
      <c r="H429" s="71"/>
      <c r="I429" s="71"/>
      <c r="J429" s="240" t="s">
        <v>615</v>
      </c>
      <c r="K429" s="241"/>
      <c r="L429" s="49">
        <v>4000000</v>
      </c>
      <c r="M429" s="49">
        <v>0</v>
      </c>
      <c r="N429" s="49"/>
      <c r="O429" s="49"/>
      <c r="P429" s="49"/>
      <c r="Q429" s="49">
        <f>SUM(N429:P429)</f>
        <v>0</v>
      </c>
      <c r="R429" s="72"/>
      <c r="S429" s="49">
        <f>M429-Q429</f>
        <v>0</v>
      </c>
      <c r="T429" s="49">
        <v>0</v>
      </c>
      <c r="U429" s="49">
        <f>T429+M429</f>
        <v>0</v>
      </c>
      <c r="V429" s="49">
        <f>T429+S429</f>
        <v>0</v>
      </c>
      <c r="W429" s="49"/>
      <c r="X429" s="49"/>
      <c r="Y429" s="49"/>
      <c r="Z429" s="49"/>
      <c r="AA429" s="49">
        <v>4000000</v>
      </c>
      <c r="AB429" s="49">
        <v>4000000</v>
      </c>
      <c r="AC429" s="49">
        <f t="shared" si="103"/>
        <v>0</v>
      </c>
      <c r="AD429" s="49">
        <f>AA429+T429+M429</f>
        <v>4000000</v>
      </c>
      <c r="AE429" s="49"/>
      <c r="AF429" s="49"/>
      <c r="AG429" s="49"/>
      <c r="AH429" s="49"/>
      <c r="AI429" s="49"/>
      <c r="AJ429" s="49"/>
      <c r="AK429" s="49">
        <f>Z429+Y429+X429+W429+N429+AG429+AJ429+AI429+AH429</f>
        <v>0</v>
      </c>
      <c r="AL429" s="49">
        <f>AK429/AD429*100</f>
        <v>0</v>
      </c>
      <c r="AM429" s="49"/>
      <c r="AN429" s="42">
        <v>2300000</v>
      </c>
      <c r="AO429" s="49"/>
      <c r="AP429" s="49"/>
      <c r="AQ429" s="49">
        <f>AK429+AM429+AN429+AO429+AP429</f>
        <v>2300000</v>
      </c>
      <c r="AR429" s="49">
        <f>AQ429/AB429*100</f>
        <v>57.499999999999993</v>
      </c>
      <c r="AS429" s="49">
        <f>AB429-AQ429</f>
        <v>1700000</v>
      </c>
      <c r="AT429" s="49">
        <v>3091500</v>
      </c>
      <c r="AU429" s="49">
        <f>AT429+U429</f>
        <v>3091500</v>
      </c>
      <c r="AV429" s="49">
        <f>AK429</f>
        <v>0</v>
      </c>
      <c r="AW429" s="72">
        <f>AV429/AU429*100</f>
        <v>0</v>
      </c>
      <c r="AX429" s="49">
        <f>AU429-AV429</f>
        <v>3091500</v>
      </c>
      <c r="AY429" s="49">
        <f>AS429/AB429*100</f>
        <v>42.5</v>
      </c>
      <c r="AZ429" s="73">
        <f t="shared" si="108"/>
        <v>2300000</v>
      </c>
    </row>
    <row r="430" spans="1:53" ht="20.100000000000001" hidden="1" customHeight="1">
      <c r="A430" s="68"/>
      <c r="B430" s="69"/>
      <c r="C430" s="240" t="s">
        <v>616</v>
      </c>
      <c r="D430" s="240"/>
      <c r="E430" s="241"/>
      <c r="F430" s="70"/>
      <c r="G430" s="71"/>
      <c r="H430" s="71"/>
      <c r="I430" s="71"/>
      <c r="J430" s="240" t="s">
        <v>352</v>
      </c>
      <c r="K430" s="241"/>
      <c r="L430" s="49">
        <v>9600000</v>
      </c>
      <c r="M430" s="49">
        <v>0</v>
      </c>
      <c r="N430" s="49"/>
      <c r="O430" s="49"/>
      <c r="P430" s="49"/>
      <c r="Q430" s="49">
        <f>SUM(N430:P430)</f>
        <v>0</v>
      </c>
      <c r="R430" s="72"/>
      <c r="S430" s="49">
        <f>M430-Q430</f>
        <v>0</v>
      </c>
      <c r="T430" s="49">
        <v>0</v>
      </c>
      <c r="U430" s="49">
        <f>T430+M430</f>
        <v>0</v>
      </c>
      <c r="V430" s="49">
        <f>T430+S430</f>
        <v>0</v>
      </c>
      <c r="W430" s="49"/>
      <c r="X430" s="49"/>
      <c r="Y430" s="49"/>
      <c r="Z430" s="49"/>
      <c r="AA430" s="49">
        <v>9600000</v>
      </c>
      <c r="AB430" s="49">
        <v>9600000</v>
      </c>
      <c r="AC430" s="49">
        <f t="shared" si="103"/>
        <v>0</v>
      </c>
      <c r="AD430" s="49">
        <f>AA430+T430+M430</f>
        <v>9600000</v>
      </c>
      <c r="AE430" s="49"/>
      <c r="AF430" s="49"/>
      <c r="AG430" s="49"/>
      <c r="AH430" s="49"/>
      <c r="AI430" s="49"/>
      <c r="AJ430" s="49">
        <v>9600000</v>
      </c>
      <c r="AK430" s="49">
        <f>Z430+Y430+X430+W430+N430+AG430+AJ430+AI430+AH430</f>
        <v>9600000</v>
      </c>
      <c r="AL430" s="49">
        <f>AK430/AD430*100</f>
        <v>100</v>
      </c>
      <c r="AM430" s="49"/>
      <c r="AN430" s="49"/>
      <c r="AO430" s="49"/>
      <c r="AP430" s="49"/>
      <c r="AQ430" s="49">
        <f>AK430+AM430+AN430+AO430+AP430</f>
        <v>9600000</v>
      </c>
      <c r="AR430" s="49">
        <f>AQ430/AB430*100</f>
        <v>100</v>
      </c>
      <c r="AS430" s="49">
        <f>AB430-AQ430</f>
        <v>0</v>
      </c>
      <c r="AT430" s="49">
        <v>3091500</v>
      </c>
      <c r="AU430" s="49">
        <f>AT430+U430</f>
        <v>3091500</v>
      </c>
      <c r="AV430" s="49">
        <f>AK430</f>
        <v>9600000</v>
      </c>
      <c r="AW430" s="72">
        <f>AV430/AU430*100</f>
        <v>310.52886948083454</v>
      </c>
      <c r="AX430" s="49">
        <f>AU430-AV430</f>
        <v>-6508500</v>
      </c>
      <c r="AY430" s="49">
        <f>AS430/AB430*100</f>
        <v>0</v>
      </c>
      <c r="AZ430" s="73">
        <f t="shared" si="108"/>
        <v>9600000</v>
      </c>
    </row>
    <row r="431" spans="1:53" ht="20.100000000000001" hidden="1" customHeight="1">
      <c r="A431" s="68"/>
      <c r="B431" s="69"/>
      <c r="C431" s="240" t="s">
        <v>617</v>
      </c>
      <c r="D431" s="240"/>
      <c r="E431" s="241"/>
      <c r="F431" s="70"/>
      <c r="G431" s="71"/>
      <c r="H431" s="71"/>
      <c r="I431" s="240" t="s">
        <v>151</v>
      </c>
      <c r="J431" s="240"/>
      <c r="K431" s="241"/>
      <c r="L431" s="49"/>
      <c r="M431" s="49"/>
      <c r="N431" s="49"/>
      <c r="O431" s="49"/>
      <c r="P431" s="49"/>
      <c r="Q431" s="49"/>
      <c r="R431" s="72"/>
      <c r="S431" s="49"/>
      <c r="T431" s="49"/>
      <c r="U431" s="49"/>
      <c r="V431" s="49"/>
      <c r="W431" s="49"/>
      <c r="X431" s="49"/>
      <c r="Y431" s="49"/>
      <c r="Z431" s="49"/>
      <c r="AA431" s="49"/>
      <c r="AB431" s="49"/>
      <c r="AC431" s="49">
        <f t="shared" si="103"/>
        <v>0</v>
      </c>
      <c r="AD431" s="49"/>
      <c r="AE431" s="49"/>
      <c r="AF431" s="49"/>
      <c r="AG431" s="49"/>
      <c r="AH431" s="49"/>
      <c r="AI431" s="49"/>
      <c r="AJ431" s="49"/>
      <c r="AK431" s="49"/>
      <c r="AL431" s="49"/>
      <c r="AM431" s="49"/>
      <c r="AN431" s="49"/>
      <c r="AO431" s="49"/>
      <c r="AP431" s="49"/>
      <c r="AQ431" s="49"/>
      <c r="AR431" s="49"/>
      <c r="AS431" s="49"/>
      <c r="AT431" s="49"/>
      <c r="AU431" s="49"/>
      <c r="AV431" s="49"/>
      <c r="AW431" s="49"/>
      <c r="AX431" s="49"/>
      <c r="AY431" s="49"/>
      <c r="AZ431" s="73">
        <f t="shared" si="108"/>
        <v>0</v>
      </c>
    </row>
    <row r="432" spans="1:53" ht="20.100000000000001" hidden="1" customHeight="1">
      <c r="A432" s="68"/>
      <c r="B432" s="69"/>
      <c r="C432" s="240" t="s">
        <v>618</v>
      </c>
      <c r="D432" s="240"/>
      <c r="E432" s="241"/>
      <c r="F432" s="70"/>
      <c r="G432" s="71"/>
      <c r="H432" s="71"/>
      <c r="I432" s="71"/>
      <c r="J432" s="240" t="s">
        <v>155</v>
      </c>
      <c r="K432" s="241"/>
      <c r="L432" s="49">
        <v>700000</v>
      </c>
      <c r="M432" s="49">
        <v>0</v>
      </c>
      <c r="N432" s="49"/>
      <c r="O432" s="49"/>
      <c r="P432" s="49"/>
      <c r="Q432" s="49">
        <f>SUM(N432:P432)</f>
        <v>0</v>
      </c>
      <c r="R432" s="72"/>
      <c r="S432" s="49">
        <f>M432-Q432</f>
        <v>0</v>
      </c>
      <c r="T432" s="49">
        <v>0</v>
      </c>
      <c r="U432" s="49">
        <f>T432+M432</f>
        <v>0</v>
      </c>
      <c r="V432" s="49">
        <f>T432+S432</f>
        <v>0</v>
      </c>
      <c r="W432" s="49"/>
      <c r="X432" s="49"/>
      <c r="Y432" s="49"/>
      <c r="Z432" s="49"/>
      <c r="AA432" s="49">
        <v>700000</v>
      </c>
      <c r="AB432" s="49">
        <v>700000</v>
      </c>
      <c r="AC432" s="49">
        <f t="shared" si="103"/>
        <v>0</v>
      </c>
      <c r="AD432" s="49">
        <f>AA432+T432+M432</f>
        <v>700000</v>
      </c>
      <c r="AE432" s="49"/>
      <c r="AF432" s="49"/>
      <c r="AG432" s="49"/>
      <c r="AH432" s="49"/>
      <c r="AI432" s="49"/>
      <c r="AJ432" s="49">
        <v>700000</v>
      </c>
      <c r="AK432" s="49">
        <f>Z432+Y432+X432+W432+N432+AG432+AJ432+AI432+AH432</f>
        <v>700000</v>
      </c>
      <c r="AL432" s="49">
        <f>AK432/AD432*100</f>
        <v>100</v>
      </c>
      <c r="AM432" s="49"/>
      <c r="AN432" s="49"/>
      <c r="AO432" s="49"/>
      <c r="AP432" s="49"/>
      <c r="AQ432" s="49">
        <f>AK432+AM432+AN432+AO432+AP432</f>
        <v>700000</v>
      </c>
      <c r="AR432" s="49">
        <f>AQ432/AB432*100</f>
        <v>100</v>
      </c>
      <c r="AS432" s="49">
        <f>AB432-AQ432</f>
        <v>0</v>
      </c>
      <c r="AT432" s="49">
        <v>3091500</v>
      </c>
      <c r="AU432" s="49">
        <f>AT432+U432</f>
        <v>3091500</v>
      </c>
      <c r="AV432" s="49">
        <f>AK432</f>
        <v>700000</v>
      </c>
      <c r="AW432" s="72">
        <f>AV432/AU432*100</f>
        <v>22.64273006631085</v>
      </c>
      <c r="AX432" s="49">
        <f>AU432-AV432</f>
        <v>2391500</v>
      </c>
      <c r="AY432" s="49">
        <f>AS432/AB432*100</f>
        <v>0</v>
      </c>
      <c r="AZ432" s="73">
        <f t="shared" si="108"/>
        <v>700000</v>
      </c>
    </row>
    <row r="433" spans="1:52" ht="20.100000000000001" hidden="1" customHeight="1">
      <c r="A433" s="68"/>
      <c r="B433" s="69"/>
      <c r="C433" s="240" t="s">
        <v>619</v>
      </c>
      <c r="D433" s="240"/>
      <c r="E433" s="241"/>
      <c r="F433" s="70"/>
      <c r="G433" s="71"/>
      <c r="H433" s="71"/>
      <c r="I433" s="240" t="s">
        <v>193</v>
      </c>
      <c r="J433" s="240"/>
      <c r="K433" s="241"/>
      <c r="L433" s="49"/>
      <c r="M433" s="49"/>
      <c r="N433" s="49"/>
      <c r="O433" s="49"/>
      <c r="P433" s="49"/>
      <c r="Q433" s="49"/>
      <c r="R433" s="72"/>
      <c r="S433" s="49"/>
      <c r="T433" s="49"/>
      <c r="U433" s="49"/>
      <c r="V433" s="49"/>
      <c r="W433" s="49"/>
      <c r="X433" s="49"/>
      <c r="Y433" s="49"/>
      <c r="Z433" s="49"/>
      <c r="AA433" s="49"/>
      <c r="AB433" s="49"/>
      <c r="AC433" s="49">
        <f t="shared" si="103"/>
        <v>0</v>
      </c>
      <c r="AD433" s="49"/>
      <c r="AE433" s="49"/>
      <c r="AF433" s="49"/>
      <c r="AG433" s="49"/>
      <c r="AH433" s="49"/>
      <c r="AI433" s="49"/>
      <c r="AJ433" s="49"/>
      <c r="AK433" s="49"/>
      <c r="AL433" s="49"/>
      <c r="AM433" s="49"/>
      <c r="AN433" s="49"/>
      <c r="AO433" s="49"/>
      <c r="AP433" s="49"/>
      <c r="AQ433" s="49"/>
      <c r="AR433" s="49"/>
      <c r="AS433" s="49"/>
      <c r="AT433" s="49"/>
      <c r="AU433" s="49"/>
      <c r="AV433" s="49"/>
      <c r="AW433" s="49"/>
      <c r="AX433" s="49"/>
      <c r="AY433" s="49"/>
      <c r="AZ433" s="73">
        <f t="shared" si="108"/>
        <v>0</v>
      </c>
    </row>
    <row r="434" spans="1:52" ht="20.100000000000001" hidden="1" customHeight="1">
      <c r="A434" s="68"/>
      <c r="B434" s="69"/>
      <c r="C434" s="240" t="s">
        <v>620</v>
      </c>
      <c r="D434" s="240"/>
      <c r="E434" s="241"/>
      <c r="F434" s="70"/>
      <c r="G434" s="71"/>
      <c r="H434" s="71"/>
      <c r="I434" s="71"/>
      <c r="J434" s="240" t="s">
        <v>195</v>
      </c>
      <c r="K434" s="241"/>
      <c r="L434" s="49">
        <v>10875000</v>
      </c>
      <c r="M434" s="49">
        <v>0</v>
      </c>
      <c r="N434" s="49"/>
      <c r="O434" s="49"/>
      <c r="P434" s="49"/>
      <c r="Q434" s="49">
        <f>SUM(N434:P434)</f>
        <v>0</v>
      </c>
      <c r="R434" s="72"/>
      <c r="S434" s="49">
        <f>M434-Q434</f>
        <v>0</v>
      </c>
      <c r="T434" s="49">
        <v>0</v>
      </c>
      <c r="U434" s="49">
        <f>T434+M434</f>
        <v>0</v>
      </c>
      <c r="V434" s="49">
        <f>T434+S434</f>
        <v>0</v>
      </c>
      <c r="W434" s="49"/>
      <c r="X434" s="49"/>
      <c r="Y434" s="49"/>
      <c r="Z434" s="49"/>
      <c r="AA434" s="49">
        <v>10875000</v>
      </c>
      <c r="AB434" s="49">
        <v>10875000</v>
      </c>
      <c r="AC434" s="49">
        <f t="shared" si="103"/>
        <v>0</v>
      </c>
      <c r="AD434" s="49">
        <f>AA434+T434+M434</f>
        <v>10875000</v>
      </c>
      <c r="AE434" s="49"/>
      <c r="AF434" s="49"/>
      <c r="AG434" s="49"/>
      <c r="AH434" s="49"/>
      <c r="AI434" s="49"/>
      <c r="AJ434" s="49">
        <v>10875000</v>
      </c>
      <c r="AK434" s="49">
        <f>Z434+Y434+X434+W434+N434+AG434+AJ434+AI434+AH434</f>
        <v>10875000</v>
      </c>
      <c r="AL434" s="49">
        <f>AK434/AD434*100</f>
        <v>100</v>
      </c>
      <c r="AM434" s="49"/>
      <c r="AN434" s="49"/>
      <c r="AO434" s="49"/>
      <c r="AP434" s="49"/>
      <c r="AQ434" s="49">
        <f>AK434+AM434+AN434+AO434+AP434</f>
        <v>10875000</v>
      </c>
      <c r="AR434" s="49">
        <f>AQ434/AB434*100</f>
        <v>100</v>
      </c>
      <c r="AS434" s="49">
        <f>AB434-AQ434</f>
        <v>0</v>
      </c>
      <c r="AT434" s="49">
        <v>3091500</v>
      </c>
      <c r="AU434" s="49">
        <f>AT434+U434</f>
        <v>3091500</v>
      </c>
      <c r="AV434" s="49">
        <f>AK434</f>
        <v>10875000</v>
      </c>
      <c r="AW434" s="72">
        <f>AV434/AU434*100</f>
        <v>351.77098495875788</v>
      </c>
      <c r="AX434" s="49">
        <f>AU434-AV434</f>
        <v>-7783500</v>
      </c>
      <c r="AY434" s="49">
        <f>AS434/AB434*100</f>
        <v>0</v>
      </c>
      <c r="AZ434" s="73">
        <f t="shared" si="108"/>
        <v>10875000</v>
      </c>
    </row>
    <row r="435" spans="1:52" ht="20.100000000000001" hidden="1" customHeight="1">
      <c r="A435" s="68"/>
      <c r="B435" s="69"/>
      <c r="C435" s="240" t="s">
        <v>621</v>
      </c>
      <c r="D435" s="240"/>
      <c r="E435" s="241"/>
      <c r="F435" s="70"/>
      <c r="G435" s="71"/>
      <c r="H435" s="71"/>
      <c r="I435" s="240" t="s">
        <v>157</v>
      </c>
      <c r="J435" s="240"/>
      <c r="K435" s="241"/>
      <c r="L435" s="49"/>
      <c r="M435" s="49"/>
      <c r="N435" s="49"/>
      <c r="O435" s="49"/>
      <c r="P435" s="49"/>
      <c r="Q435" s="49"/>
      <c r="R435" s="72"/>
      <c r="S435" s="49"/>
      <c r="T435" s="49"/>
      <c r="U435" s="49"/>
      <c r="V435" s="49"/>
      <c r="W435" s="49"/>
      <c r="X435" s="49"/>
      <c r="Y435" s="49"/>
      <c r="Z435" s="49"/>
      <c r="AA435" s="49"/>
      <c r="AB435" s="49"/>
      <c r="AC435" s="49">
        <f t="shared" si="103"/>
        <v>0</v>
      </c>
      <c r="AD435" s="49"/>
      <c r="AE435" s="49"/>
      <c r="AF435" s="49"/>
      <c r="AG435" s="49"/>
      <c r="AH435" s="49"/>
      <c r="AI435" s="49"/>
      <c r="AJ435" s="49"/>
      <c r="AK435" s="49"/>
      <c r="AL435" s="49"/>
      <c r="AM435" s="49"/>
      <c r="AN435" s="49"/>
      <c r="AO435" s="49"/>
      <c r="AP435" s="49"/>
      <c r="AQ435" s="49"/>
      <c r="AR435" s="49"/>
      <c r="AS435" s="49"/>
      <c r="AT435" s="49"/>
      <c r="AU435" s="49"/>
      <c r="AV435" s="49"/>
      <c r="AW435" s="49"/>
      <c r="AX435" s="49"/>
      <c r="AY435" s="49"/>
      <c r="AZ435" s="73">
        <f t="shared" si="108"/>
        <v>0</v>
      </c>
    </row>
    <row r="436" spans="1:52" ht="20.100000000000001" hidden="1" customHeight="1">
      <c r="A436" s="68"/>
      <c r="B436" s="69"/>
      <c r="C436" s="240" t="s">
        <v>622</v>
      </c>
      <c r="D436" s="240"/>
      <c r="E436" s="241"/>
      <c r="F436" s="70"/>
      <c r="G436" s="71"/>
      <c r="H436" s="71"/>
      <c r="I436" s="71"/>
      <c r="J436" s="240" t="s">
        <v>159</v>
      </c>
      <c r="K436" s="241"/>
      <c r="L436" s="49">
        <v>4040000</v>
      </c>
      <c r="M436" s="49">
        <v>0</v>
      </c>
      <c r="N436" s="49"/>
      <c r="O436" s="49"/>
      <c r="P436" s="49"/>
      <c r="Q436" s="49">
        <f>SUM(N436:P436)</f>
        <v>0</v>
      </c>
      <c r="R436" s="72"/>
      <c r="S436" s="49">
        <f>M436-Q436</f>
        <v>0</v>
      </c>
      <c r="T436" s="49">
        <v>0</v>
      </c>
      <c r="U436" s="49">
        <f>T436+M436</f>
        <v>0</v>
      </c>
      <c r="V436" s="49">
        <f>T436+S436</f>
        <v>0</v>
      </c>
      <c r="W436" s="49"/>
      <c r="X436" s="49"/>
      <c r="Y436" s="49"/>
      <c r="Z436" s="49"/>
      <c r="AA436" s="49">
        <v>4040000</v>
      </c>
      <c r="AB436" s="49">
        <v>4040000</v>
      </c>
      <c r="AC436" s="49">
        <f t="shared" ref="AC436:AC499" si="109">AB436-L436</f>
        <v>0</v>
      </c>
      <c r="AD436" s="49">
        <f>AA436+T436+M436</f>
        <v>4040000</v>
      </c>
      <c r="AE436" s="49"/>
      <c r="AF436" s="49"/>
      <c r="AG436" s="49"/>
      <c r="AH436" s="49"/>
      <c r="AI436" s="49"/>
      <c r="AJ436" s="49"/>
      <c r="AK436" s="49">
        <f>Z436+Y436+X436+W436+N436+AG436+AJ436+AI436+AH436</f>
        <v>0</v>
      </c>
      <c r="AL436" s="49">
        <f>AK436/AD436*100</f>
        <v>0</v>
      </c>
      <c r="AM436" s="49"/>
      <c r="AN436" s="42">
        <v>4040000</v>
      </c>
      <c r="AO436" s="49"/>
      <c r="AP436" s="49"/>
      <c r="AQ436" s="49">
        <f>AK436+AM436+AN436+AO436+AP436</f>
        <v>4040000</v>
      </c>
      <c r="AR436" s="49">
        <f>AQ436/AB436*100</f>
        <v>100</v>
      </c>
      <c r="AS436" s="49">
        <f>AB436-AQ436</f>
        <v>0</v>
      </c>
      <c r="AT436" s="49">
        <v>3091500</v>
      </c>
      <c r="AU436" s="49">
        <f>AT436+U436</f>
        <v>3091500</v>
      </c>
      <c r="AV436" s="49">
        <f>AK436</f>
        <v>0</v>
      </c>
      <c r="AW436" s="72">
        <f>AV436/AU436*100</f>
        <v>0</v>
      </c>
      <c r="AX436" s="49">
        <f>AU436-AV436</f>
        <v>3091500</v>
      </c>
      <c r="AY436" s="49">
        <f>AS436/AB436*100</f>
        <v>0</v>
      </c>
      <c r="AZ436" s="73">
        <f t="shared" si="108"/>
        <v>4040000</v>
      </c>
    </row>
    <row r="437" spans="1:52" ht="20.100000000000001" hidden="1" customHeight="1">
      <c r="A437" s="68"/>
      <c r="B437" s="69"/>
      <c r="C437" s="240" t="s">
        <v>623</v>
      </c>
      <c r="D437" s="240"/>
      <c r="E437" s="241"/>
      <c r="F437" s="70"/>
      <c r="G437" s="71"/>
      <c r="H437" s="71"/>
      <c r="I437" s="71"/>
      <c r="J437" s="240" t="s">
        <v>624</v>
      </c>
      <c r="K437" s="241"/>
      <c r="L437" s="49">
        <v>4065000</v>
      </c>
      <c r="M437" s="49">
        <v>0</v>
      </c>
      <c r="N437" s="49"/>
      <c r="O437" s="49"/>
      <c r="P437" s="49"/>
      <c r="Q437" s="49">
        <f>SUM(N437:P437)</f>
        <v>0</v>
      </c>
      <c r="R437" s="72"/>
      <c r="S437" s="49">
        <f>M437-Q437</f>
        <v>0</v>
      </c>
      <c r="T437" s="49">
        <v>0</v>
      </c>
      <c r="U437" s="49">
        <f>T437+M437</f>
        <v>0</v>
      </c>
      <c r="V437" s="49">
        <f>T437+S437</f>
        <v>0</v>
      </c>
      <c r="W437" s="49"/>
      <c r="X437" s="49"/>
      <c r="Y437" s="49"/>
      <c r="Z437" s="49"/>
      <c r="AA437" s="49">
        <v>4065000</v>
      </c>
      <c r="AB437" s="49">
        <v>4065000</v>
      </c>
      <c r="AC437" s="49">
        <f t="shared" si="109"/>
        <v>0</v>
      </c>
      <c r="AD437" s="49">
        <f>AA437+T437+M437</f>
        <v>4065000</v>
      </c>
      <c r="AE437" s="49"/>
      <c r="AF437" s="49"/>
      <c r="AG437" s="49"/>
      <c r="AH437" s="49"/>
      <c r="AI437" s="49"/>
      <c r="AJ437" s="49"/>
      <c r="AK437" s="49">
        <f>Z437+Y437+X437+W437+N437+AG437+AJ437+AI437+AH437</f>
        <v>0</v>
      </c>
      <c r="AL437" s="49">
        <f>AK437/AD437*100</f>
        <v>0</v>
      </c>
      <c r="AM437" s="49"/>
      <c r="AN437" s="42">
        <v>3750000</v>
      </c>
      <c r="AO437" s="49"/>
      <c r="AP437" s="49"/>
      <c r="AQ437" s="49">
        <f>AK437+AM437+AN437+AO437+AP437</f>
        <v>3750000</v>
      </c>
      <c r="AR437" s="49">
        <f>AQ437/AB437*100</f>
        <v>92.250922509225092</v>
      </c>
      <c r="AS437" s="49">
        <f>AB437-AQ437</f>
        <v>315000</v>
      </c>
      <c r="AT437" s="49">
        <v>3091500</v>
      </c>
      <c r="AU437" s="49">
        <f>AT437+U437</f>
        <v>3091500</v>
      </c>
      <c r="AV437" s="49">
        <f>AK437</f>
        <v>0</v>
      </c>
      <c r="AW437" s="72">
        <f>AV437/AU437*100</f>
        <v>0</v>
      </c>
      <c r="AX437" s="49">
        <f>AU437-AV437</f>
        <v>3091500</v>
      </c>
      <c r="AY437" s="49">
        <f>AS437/AB437*100</f>
        <v>7.7490774907749085</v>
      </c>
      <c r="AZ437" s="73">
        <f t="shared" si="108"/>
        <v>3750000</v>
      </c>
    </row>
    <row r="438" spans="1:52" ht="20.100000000000001" hidden="1" customHeight="1">
      <c r="A438" s="68"/>
      <c r="B438" s="69"/>
      <c r="C438" s="240" t="s">
        <v>625</v>
      </c>
      <c r="D438" s="240"/>
      <c r="E438" s="241"/>
      <c r="F438" s="70"/>
      <c r="G438" s="71"/>
      <c r="H438" s="71"/>
      <c r="I438" s="240" t="s">
        <v>402</v>
      </c>
      <c r="J438" s="240"/>
      <c r="K438" s="241"/>
      <c r="L438" s="49"/>
      <c r="M438" s="49"/>
      <c r="N438" s="49"/>
      <c r="O438" s="49"/>
      <c r="P438" s="49"/>
      <c r="Q438" s="49"/>
      <c r="R438" s="72"/>
      <c r="S438" s="49"/>
      <c r="T438" s="49"/>
      <c r="U438" s="49"/>
      <c r="V438" s="49"/>
      <c r="W438" s="49"/>
      <c r="X438" s="49"/>
      <c r="Y438" s="49"/>
      <c r="Z438" s="49"/>
      <c r="AA438" s="49"/>
      <c r="AB438" s="49"/>
      <c r="AC438" s="49">
        <f t="shared" si="109"/>
        <v>0</v>
      </c>
      <c r="AD438" s="49"/>
      <c r="AE438" s="49"/>
      <c r="AF438" s="49"/>
      <c r="AG438" s="49"/>
      <c r="AH438" s="49"/>
      <c r="AI438" s="49"/>
      <c r="AJ438" s="49"/>
      <c r="AK438" s="49"/>
      <c r="AL438" s="49"/>
      <c r="AM438" s="49"/>
      <c r="AN438" s="49"/>
      <c r="AO438" s="49"/>
      <c r="AP438" s="49"/>
      <c r="AQ438" s="49"/>
      <c r="AR438" s="49"/>
      <c r="AS438" s="49"/>
      <c r="AT438" s="49"/>
      <c r="AU438" s="49"/>
      <c r="AV438" s="49"/>
      <c r="AW438" s="49"/>
      <c r="AX438" s="49"/>
      <c r="AY438" s="49"/>
      <c r="AZ438" s="73">
        <f t="shared" si="108"/>
        <v>0</v>
      </c>
    </row>
    <row r="439" spans="1:52" ht="20.100000000000001" hidden="1" customHeight="1">
      <c r="A439" s="68"/>
      <c r="B439" s="69"/>
      <c r="C439" s="240" t="s">
        <v>626</v>
      </c>
      <c r="D439" s="240"/>
      <c r="E439" s="241"/>
      <c r="F439" s="70"/>
      <c r="G439" s="71"/>
      <c r="H439" s="71"/>
      <c r="I439" s="71"/>
      <c r="J439" s="240" t="s">
        <v>404</v>
      </c>
      <c r="K439" s="241"/>
      <c r="L439" s="49">
        <v>16200000</v>
      </c>
      <c r="M439" s="49">
        <v>0</v>
      </c>
      <c r="N439" s="49"/>
      <c r="O439" s="49"/>
      <c r="P439" s="49"/>
      <c r="Q439" s="49">
        <f>SUM(N439:P439)</f>
        <v>0</v>
      </c>
      <c r="R439" s="72"/>
      <c r="S439" s="49">
        <f>M439-Q439</f>
        <v>0</v>
      </c>
      <c r="T439" s="49">
        <v>0</v>
      </c>
      <c r="U439" s="49">
        <f>T439+M439</f>
        <v>0</v>
      </c>
      <c r="V439" s="49">
        <f>T439+S439</f>
        <v>0</v>
      </c>
      <c r="W439" s="49"/>
      <c r="X439" s="49"/>
      <c r="Y439" s="49"/>
      <c r="Z439" s="49"/>
      <c r="AA439" s="49">
        <v>16200000</v>
      </c>
      <c r="AB439" s="49">
        <v>16200000</v>
      </c>
      <c r="AC439" s="49">
        <f t="shared" si="109"/>
        <v>0</v>
      </c>
      <c r="AD439" s="49">
        <f>AA439+T439+M439</f>
        <v>16200000</v>
      </c>
      <c r="AE439" s="49"/>
      <c r="AF439" s="49"/>
      <c r="AG439" s="49"/>
      <c r="AH439" s="49"/>
      <c r="AI439" s="49"/>
      <c r="AJ439" s="49">
        <v>16200000</v>
      </c>
      <c r="AK439" s="49">
        <f>Z439+Y439+X439+W439+N439+AG439+AJ439+AI439+AH439</f>
        <v>16200000</v>
      </c>
      <c r="AL439" s="49">
        <f>AK439/AD439*100</f>
        <v>100</v>
      </c>
      <c r="AM439" s="49"/>
      <c r="AN439" s="49"/>
      <c r="AO439" s="49"/>
      <c r="AP439" s="49"/>
      <c r="AQ439" s="49">
        <f>AK439+AM439+AN439+AO439+AP439</f>
        <v>16200000</v>
      </c>
      <c r="AR439" s="49">
        <f>AQ439/AB439*100</f>
        <v>100</v>
      </c>
      <c r="AS439" s="49">
        <f>AB439-AQ439</f>
        <v>0</v>
      </c>
      <c r="AT439" s="49">
        <v>3091500</v>
      </c>
      <c r="AU439" s="49">
        <f>AT439+U439</f>
        <v>3091500</v>
      </c>
      <c r="AV439" s="49">
        <f>AK439</f>
        <v>16200000</v>
      </c>
      <c r="AW439" s="72">
        <f>AV439/AU439*100</f>
        <v>524.01746724890825</v>
      </c>
      <c r="AX439" s="49">
        <f>AU439-AV439</f>
        <v>-13108500</v>
      </c>
      <c r="AY439" s="49">
        <f>AS439/AB439*100</f>
        <v>0</v>
      </c>
      <c r="AZ439" s="73">
        <f t="shared" si="108"/>
        <v>16200000</v>
      </c>
    </row>
    <row r="440" spans="1:52" ht="20.100000000000001" hidden="1" customHeight="1">
      <c r="A440" s="68"/>
      <c r="B440" s="69"/>
      <c r="C440" s="240" t="s">
        <v>627</v>
      </c>
      <c r="D440" s="240"/>
      <c r="E440" s="241"/>
      <c r="F440" s="70"/>
      <c r="G440" s="71"/>
      <c r="H440" s="240" t="s">
        <v>270</v>
      </c>
      <c r="I440" s="240"/>
      <c r="J440" s="240"/>
      <c r="K440" s="241"/>
      <c r="L440" s="49"/>
      <c r="M440" s="49"/>
      <c r="N440" s="49"/>
      <c r="O440" s="49"/>
      <c r="P440" s="49"/>
      <c r="Q440" s="49"/>
      <c r="R440" s="72"/>
      <c r="S440" s="49"/>
      <c r="T440" s="49"/>
      <c r="U440" s="49"/>
      <c r="V440" s="49"/>
      <c r="W440" s="49"/>
      <c r="X440" s="49"/>
      <c r="Y440" s="49"/>
      <c r="Z440" s="49"/>
      <c r="AA440" s="49"/>
      <c r="AB440" s="49"/>
      <c r="AC440" s="49">
        <f t="shared" si="109"/>
        <v>0</v>
      </c>
      <c r="AD440" s="49"/>
      <c r="AE440" s="49"/>
      <c r="AF440" s="49"/>
      <c r="AG440" s="49"/>
      <c r="AH440" s="49"/>
      <c r="AI440" s="49"/>
      <c r="AJ440" s="49"/>
      <c r="AK440" s="49"/>
      <c r="AL440" s="49"/>
      <c r="AM440" s="49"/>
      <c r="AN440" s="49"/>
      <c r="AO440" s="49"/>
      <c r="AP440" s="49"/>
      <c r="AQ440" s="49"/>
      <c r="AR440" s="49"/>
      <c r="AS440" s="49"/>
      <c r="AT440" s="49"/>
      <c r="AU440" s="49"/>
      <c r="AV440" s="49"/>
      <c r="AW440" s="49"/>
      <c r="AX440" s="49"/>
      <c r="AY440" s="49"/>
      <c r="AZ440" s="73">
        <f t="shared" si="108"/>
        <v>0</v>
      </c>
    </row>
    <row r="441" spans="1:52" ht="20.100000000000001" hidden="1" customHeight="1">
      <c r="A441" s="68"/>
      <c r="B441" s="69"/>
      <c r="C441" s="240" t="s">
        <v>628</v>
      </c>
      <c r="D441" s="240"/>
      <c r="E441" s="241"/>
      <c r="F441" s="70"/>
      <c r="G441" s="71"/>
      <c r="H441" s="71"/>
      <c r="I441" s="240" t="s">
        <v>629</v>
      </c>
      <c r="J441" s="240"/>
      <c r="K441" s="241"/>
      <c r="L441" s="49"/>
      <c r="M441" s="49"/>
      <c r="N441" s="49"/>
      <c r="O441" s="49"/>
      <c r="P441" s="49"/>
      <c r="Q441" s="49"/>
      <c r="R441" s="72"/>
      <c r="S441" s="49"/>
      <c r="T441" s="49"/>
      <c r="U441" s="49"/>
      <c r="V441" s="49"/>
      <c r="W441" s="49"/>
      <c r="X441" s="49"/>
      <c r="Y441" s="49"/>
      <c r="Z441" s="49"/>
      <c r="AA441" s="49"/>
      <c r="AB441" s="49"/>
      <c r="AC441" s="49">
        <f t="shared" si="109"/>
        <v>0</v>
      </c>
      <c r="AD441" s="49"/>
      <c r="AE441" s="49"/>
      <c r="AF441" s="49"/>
      <c r="AG441" s="49"/>
      <c r="AH441" s="49"/>
      <c r="AI441" s="49"/>
      <c r="AJ441" s="49"/>
      <c r="AK441" s="49"/>
      <c r="AL441" s="49"/>
      <c r="AM441" s="49"/>
      <c r="AN441" s="49"/>
      <c r="AO441" s="49"/>
      <c r="AP441" s="49"/>
      <c r="AQ441" s="49"/>
      <c r="AR441" s="49"/>
      <c r="AS441" s="49"/>
      <c r="AT441" s="49"/>
      <c r="AU441" s="49"/>
      <c r="AV441" s="49"/>
      <c r="AW441" s="49"/>
      <c r="AX441" s="49"/>
      <c r="AY441" s="49"/>
      <c r="AZ441" s="73">
        <f t="shared" si="108"/>
        <v>0</v>
      </c>
    </row>
    <row r="442" spans="1:52" ht="20.100000000000001" hidden="1" customHeight="1">
      <c r="A442" s="68"/>
      <c r="B442" s="69"/>
      <c r="C442" s="240" t="s">
        <v>630</v>
      </c>
      <c r="D442" s="240"/>
      <c r="E442" s="241"/>
      <c r="F442" s="70"/>
      <c r="G442" s="71"/>
      <c r="H442" s="71"/>
      <c r="I442" s="71"/>
      <c r="J442" s="240" t="s">
        <v>631</v>
      </c>
      <c r="K442" s="241"/>
      <c r="L442" s="49">
        <v>4560000</v>
      </c>
      <c r="M442" s="49">
        <v>0</v>
      </c>
      <c r="N442" s="49"/>
      <c r="O442" s="49"/>
      <c r="P442" s="49"/>
      <c r="Q442" s="49">
        <f>SUM(N442:P442)</f>
        <v>0</v>
      </c>
      <c r="R442" s="72"/>
      <c r="S442" s="49">
        <f>M442-Q442</f>
        <v>0</v>
      </c>
      <c r="T442" s="49">
        <v>0</v>
      </c>
      <c r="U442" s="49">
        <f>T442+M442</f>
        <v>0</v>
      </c>
      <c r="V442" s="49">
        <f>T442+S442</f>
        <v>0</v>
      </c>
      <c r="W442" s="49"/>
      <c r="X442" s="49"/>
      <c r="Y442" s="49"/>
      <c r="Z442" s="49"/>
      <c r="AA442" s="49">
        <v>4560000</v>
      </c>
      <c r="AB442" s="49">
        <v>4560000</v>
      </c>
      <c r="AC442" s="49">
        <f t="shared" si="109"/>
        <v>0</v>
      </c>
      <c r="AD442" s="49">
        <f>AA442+T442+M442</f>
        <v>4560000</v>
      </c>
      <c r="AE442" s="49"/>
      <c r="AF442" s="49"/>
      <c r="AG442" s="49"/>
      <c r="AH442" s="49"/>
      <c r="AI442" s="49"/>
      <c r="AJ442" s="49">
        <v>3890000</v>
      </c>
      <c r="AK442" s="49">
        <f>Z442+Y442+X442+W442+N442+AG442+AJ442+AI442+AH442</f>
        <v>3890000</v>
      </c>
      <c r="AL442" s="49">
        <f>AK442/AD442*100</f>
        <v>85.307017543859658</v>
      </c>
      <c r="AM442" s="49"/>
      <c r="AN442" s="49"/>
      <c r="AO442" s="49"/>
      <c r="AP442" s="49"/>
      <c r="AQ442" s="49">
        <f>AK442+AM442+AN442+AO442+AP442</f>
        <v>3890000</v>
      </c>
      <c r="AR442" s="49">
        <f>AQ442/AB442*100</f>
        <v>85.307017543859658</v>
      </c>
      <c r="AS442" s="49">
        <f>AB442-AQ442</f>
        <v>670000</v>
      </c>
      <c r="AT442" s="49">
        <v>3091500</v>
      </c>
      <c r="AU442" s="49">
        <f>AT442+U442</f>
        <v>3091500</v>
      </c>
      <c r="AV442" s="49">
        <f>AK442</f>
        <v>3890000</v>
      </c>
      <c r="AW442" s="72">
        <f>AV442/AU442*100</f>
        <v>125.82888565421317</v>
      </c>
      <c r="AX442" s="49">
        <f>AU442-AV442</f>
        <v>-798500</v>
      </c>
      <c r="AY442" s="49">
        <f>AS442/AB442*100</f>
        <v>14.692982456140353</v>
      </c>
      <c r="AZ442" s="73">
        <f t="shared" si="108"/>
        <v>3890000</v>
      </c>
    </row>
    <row r="443" spans="1:52" ht="20.100000000000001" customHeight="1">
      <c r="A443" s="60" t="s">
        <v>632</v>
      </c>
      <c r="B443" s="75"/>
      <c r="C443" s="247" t="s">
        <v>599</v>
      </c>
      <c r="D443" s="247"/>
      <c r="E443" s="248"/>
      <c r="F443" s="249" t="s">
        <v>633</v>
      </c>
      <c r="G443" s="250"/>
      <c r="H443" s="250"/>
      <c r="I443" s="250"/>
      <c r="J443" s="250"/>
      <c r="K443" s="251"/>
      <c r="L443" s="48">
        <f>L444+L457+L473+L487+L504+L529</f>
        <v>244645000</v>
      </c>
      <c r="M443" s="48">
        <f>M444+M457+M473+M487+M504+M529</f>
        <v>52626250</v>
      </c>
      <c r="N443" s="48">
        <f>N444+N457+N473+N487+N504+N529</f>
        <v>42484930</v>
      </c>
      <c r="O443" s="48">
        <f>O444+O457+O473+O487+O504+O529</f>
        <v>0</v>
      </c>
      <c r="P443" s="48">
        <f>P444+P457+P473+P487+P504+P529</f>
        <v>0</v>
      </c>
      <c r="Q443" s="48">
        <f>SUM(N443:P443)</f>
        <v>42484930</v>
      </c>
      <c r="R443" s="61">
        <f t="shared" ref="R443:R456" si="110">Q443/M443*100</f>
        <v>80.729540866012684</v>
      </c>
      <c r="S443" s="48">
        <f>M443-Q443</f>
        <v>10141320</v>
      </c>
      <c r="T443" s="48">
        <f>T444+T457+T473+T487+T504+T529</f>
        <v>86603750</v>
      </c>
      <c r="U443" s="48">
        <f>T443+M443</f>
        <v>139230000</v>
      </c>
      <c r="V443" s="48">
        <f>T443+S443</f>
        <v>96745070</v>
      </c>
      <c r="W443" s="48">
        <f>W444+W457+W473+W487+W504+W529</f>
        <v>65449850</v>
      </c>
      <c r="X443" s="48">
        <f>X444+X457+X473+X487+X504+X529</f>
        <v>0</v>
      </c>
      <c r="Y443" s="48">
        <f>Y444+Y457+Y473+Y487+Y504+Y529</f>
        <v>0</v>
      </c>
      <c r="Z443" s="48"/>
      <c r="AA443" s="48">
        <f>AA444+AA457+AA473+AA487+AA504+AA529</f>
        <v>74150000</v>
      </c>
      <c r="AB443" s="48">
        <f>AB444+AB457+AB473+AB487+AB504+AB529</f>
        <v>202840000</v>
      </c>
      <c r="AC443" s="48">
        <f t="shared" si="109"/>
        <v>-41805000</v>
      </c>
      <c r="AD443" s="48">
        <f>AA443+T443+M443</f>
        <v>213380000</v>
      </c>
      <c r="AE443" s="48">
        <f t="shared" ref="AE443:AK443" si="111">AE444+AE457+AE473+AE487+AE504+AE529</f>
        <v>4830000</v>
      </c>
      <c r="AF443" s="48">
        <f t="shared" si="111"/>
        <v>0</v>
      </c>
      <c r="AG443" s="48">
        <f t="shared" si="111"/>
        <v>34344650</v>
      </c>
      <c r="AH443" s="48">
        <f t="shared" si="111"/>
        <v>0</v>
      </c>
      <c r="AI443" s="48">
        <f t="shared" si="111"/>
        <v>0</v>
      </c>
      <c r="AJ443" s="48">
        <f t="shared" si="111"/>
        <v>27384640</v>
      </c>
      <c r="AK443" s="48">
        <f t="shared" si="111"/>
        <v>174494070</v>
      </c>
      <c r="AL443" s="48">
        <f>AK443/AB443*100</f>
        <v>86.025473279432063</v>
      </c>
      <c r="AM443" s="48">
        <f>AM444+AM457+AM473+AM487+AM504+AM529</f>
        <v>0</v>
      </c>
      <c r="AN443" s="48">
        <f>AN444+AN457+AN473+AN487+AN504+AN529</f>
        <v>0</v>
      </c>
      <c r="AO443" s="48">
        <f>AO444+AO457+AO473+AO487+AO504+AO529</f>
        <v>28090000</v>
      </c>
      <c r="AP443" s="48">
        <f>AP444+AP457+AP473+AP487+AP504+AP529</f>
        <v>0</v>
      </c>
      <c r="AQ443" s="48">
        <f>AK443+AM443+AN443+AO443+AP443</f>
        <v>202584070</v>
      </c>
      <c r="AR443" s="48">
        <f>AQ443/AB443*100</f>
        <v>99.873826661408003</v>
      </c>
      <c r="AS443" s="48">
        <f>AB443-AQ443</f>
        <v>255930</v>
      </c>
      <c r="AT443" s="48">
        <v>120767500</v>
      </c>
      <c r="AU443" s="48">
        <f>AT443+U443</f>
        <v>259997500</v>
      </c>
      <c r="AV443" s="48">
        <f>AK443</f>
        <v>174494070</v>
      </c>
      <c r="AW443" s="61">
        <f>AV443/AU443*100</f>
        <v>67.113749170665102</v>
      </c>
      <c r="AX443" s="48">
        <f>AU443-AV443</f>
        <v>85503430</v>
      </c>
      <c r="AY443" s="48">
        <f>AS443/AB443*100</f>
        <v>0.1261733385919937</v>
      </c>
      <c r="AZ443" s="73">
        <f t="shared" si="108"/>
        <v>174494070</v>
      </c>
    </row>
    <row r="444" spans="1:52" ht="20.100000000000001" customHeight="1">
      <c r="A444" s="62">
        <v>28</v>
      </c>
      <c r="B444" s="63"/>
      <c r="C444" s="242" t="s">
        <v>634</v>
      </c>
      <c r="D444" s="242"/>
      <c r="E444" s="243"/>
      <c r="F444" s="64"/>
      <c r="G444" s="244" t="s">
        <v>635</v>
      </c>
      <c r="H444" s="244"/>
      <c r="I444" s="244"/>
      <c r="J444" s="244"/>
      <c r="K444" s="245"/>
      <c r="L444" s="65">
        <f>SUM(L447:L456)</f>
        <v>41805000</v>
      </c>
      <c r="M444" s="65">
        <f>SUM(M447:M456)</f>
        <v>10126250</v>
      </c>
      <c r="N444" s="65">
        <f>SUM(N447:N456)</f>
        <v>0</v>
      </c>
      <c r="O444" s="65">
        <f>SUM(O447:O456)</f>
        <v>0</v>
      </c>
      <c r="P444" s="65">
        <f>SUM(P447:P456)</f>
        <v>0</v>
      </c>
      <c r="Q444" s="65">
        <f>SUM(N444:P444)</f>
        <v>0</v>
      </c>
      <c r="R444" s="66">
        <f t="shared" si="110"/>
        <v>0</v>
      </c>
      <c r="S444" s="65">
        <f>M444-Q444</f>
        <v>10126250</v>
      </c>
      <c r="T444" s="65">
        <f>SUM(T447:T456)</f>
        <v>11978750</v>
      </c>
      <c r="U444" s="65">
        <f>T444+M444</f>
        <v>22105000</v>
      </c>
      <c r="V444" s="65">
        <f>T444+S444</f>
        <v>22105000</v>
      </c>
      <c r="W444" s="65">
        <f>SUM(W447:W456)</f>
        <v>0</v>
      </c>
      <c r="X444" s="65">
        <f>SUM(X447:X456)</f>
        <v>0</v>
      </c>
      <c r="Y444" s="65">
        <f>SUM(Y447:Y456)</f>
        <v>0</v>
      </c>
      <c r="Z444" s="65"/>
      <c r="AA444" s="65">
        <f>SUM(AA447:AA456)</f>
        <v>15865000</v>
      </c>
      <c r="AB444" s="65">
        <f>SUM(AB447:AB456)</f>
        <v>0</v>
      </c>
      <c r="AC444" s="65">
        <f t="shared" si="109"/>
        <v>-41805000</v>
      </c>
      <c r="AD444" s="65">
        <f>AA444+T444+M444</f>
        <v>37970000</v>
      </c>
      <c r="AE444" s="65">
        <f t="shared" ref="AE444:AK444" si="112">SUM(AE447:AE456)</f>
        <v>0</v>
      </c>
      <c r="AF444" s="65">
        <f t="shared" si="112"/>
        <v>0</v>
      </c>
      <c r="AG444" s="65">
        <f t="shared" si="112"/>
        <v>0</v>
      </c>
      <c r="AH444" s="65">
        <f t="shared" si="112"/>
        <v>0</v>
      </c>
      <c r="AI444" s="65">
        <f t="shared" si="112"/>
        <v>0</v>
      </c>
      <c r="AJ444" s="65">
        <f t="shared" si="112"/>
        <v>0</v>
      </c>
      <c r="AK444" s="65">
        <f t="shared" si="112"/>
        <v>0</v>
      </c>
      <c r="AL444" s="65">
        <v>0</v>
      </c>
      <c r="AM444" s="65">
        <f>SUM(AM447:AM456)</f>
        <v>0</v>
      </c>
      <c r="AN444" s="65">
        <f>SUM(AN447:AN456)</f>
        <v>0</v>
      </c>
      <c r="AO444" s="65">
        <f>SUM(AO447:AO456)</f>
        <v>0</v>
      </c>
      <c r="AP444" s="65">
        <f>SUM(AP447:AP456)</f>
        <v>0</v>
      </c>
      <c r="AQ444" s="65">
        <f>AK444+AM444+AN444+AO444+AP444</f>
        <v>0</v>
      </c>
      <c r="AR444" s="65">
        <v>0</v>
      </c>
      <c r="AS444" s="65">
        <f>AB444-AQ444</f>
        <v>0</v>
      </c>
      <c r="AT444" s="65">
        <f>SUM(AT447:AT453)</f>
        <v>0</v>
      </c>
      <c r="AU444" s="65">
        <f>AT444+U444</f>
        <v>22105000</v>
      </c>
      <c r="AV444" s="65">
        <f>AK444</f>
        <v>0</v>
      </c>
      <c r="AW444" s="66">
        <f>AV444/AU444*100</f>
        <v>0</v>
      </c>
      <c r="AX444" s="65">
        <f>AU444-AV444</f>
        <v>22105000</v>
      </c>
      <c r="AY444" s="65">
        <v>0</v>
      </c>
      <c r="AZ444" s="67">
        <f t="shared" si="108"/>
        <v>0</v>
      </c>
    </row>
    <row r="445" spans="1:52" ht="20.100000000000001" hidden="1" customHeight="1">
      <c r="A445" s="68"/>
      <c r="B445" s="69"/>
      <c r="C445" s="240" t="s">
        <v>636</v>
      </c>
      <c r="D445" s="240"/>
      <c r="E445" s="241"/>
      <c r="F445" s="70"/>
      <c r="G445" s="71"/>
      <c r="H445" s="240" t="s">
        <v>10</v>
      </c>
      <c r="I445" s="240"/>
      <c r="J445" s="240"/>
      <c r="K445" s="241"/>
      <c r="L445" s="49"/>
      <c r="M445" s="49"/>
      <c r="N445" s="49"/>
      <c r="O445" s="49"/>
      <c r="P445" s="49"/>
      <c r="Q445" s="49"/>
      <c r="R445" s="72"/>
      <c r="S445" s="49"/>
      <c r="T445" s="49"/>
      <c r="U445" s="49"/>
      <c r="V445" s="49"/>
      <c r="W445" s="49"/>
      <c r="X445" s="49"/>
      <c r="Y445" s="49"/>
      <c r="Z445" s="49"/>
      <c r="AA445" s="49"/>
      <c r="AB445" s="49"/>
      <c r="AC445" s="49">
        <f t="shared" si="109"/>
        <v>0</v>
      </c>
      <c r="AD445" s="49"/>
      <c r="AE445" s="49"/>
      <c r="AF445" s="49"/>
      <c r="AG445" s="49"/>
      <c r="AH445" s="49"/>
      <c r="AI445" s="49"/>
      <c r="AJ445" s="49"/>
      <c r="AK445" s="49"/>
      <c r="AL445" s="49"/>
      <c r="AM445" s="49"/>
      <c r="AN445" s="49"/>
      <c r="AO445" s="49"/>
      <c r="AP445" s="49"/>
      <c r="AQ445" s="49"/>
      <c r="AR445" s="49"/>
      <c r="AS445" s="49"/>
      <c r="AT445" s="49"/>
      <c r="AU445" s="49"/>
      <c r="AV445" s="49"/>
      <c r="AW445" s="49"/>
      <c r="AX445" s="49"/>
      <c r="AY445" s="49"/>
      <c r="AZ445" s="73">
        <f t="shared" si="108"/>
        <v>0</v>
      </c>
    </row>
    <row r="446" spans="1:52" ht="20.100000000000001" hidden="1" customHeight="1">
      <c r="A446" s="68"/>
      <c r="B446" s="69"/>
      <c r="C446" s="240" t="s">
        <v>637</v>
      </c>
      <c r="D446" s="240"/>
      <c r="E446" s="241"/>
      <c r="F446" s="70"/>
      <c r="G446" s="71"/>
      <c r="H446" s="71"/>
      <c r="I446" s="240" t="s">
        <v>341</v>
      </c>
      <c r="J446" s="240"/>
      <c r="K446" s="241"/>
      <c r="L446" s="49"/>
      <c r="M446" s="49"/>
      <c r="N446" s="49"/>
      <c r="O446" s="49"/>
      <c r="P446" s="49"/>
      <c r="Q446" s="49"/>
      <c r="R446" s="72"/>
      <c r="S446" s="49"/>
      <c r="T446" s="49"/>
      <c r="U446" s="49"/>
      <c r="V446" s="49"/>
      <c r="W446" s="49"/>
      <c r="X446" s="49"/>
      <c r="Y446" s="49"/>
      <c r="Z446" s="49"/>
      <c r="AA446" s="49"/>
      <c r="AB446" s="49"/>
      <c r="AC446" s="49">
        <f t="shared" si="109"/>
        <v>0</v>
      </c>
      <c r="AD446" s="49"/>
      <c r="AE446" s="49"/>
      <c r="AF446" s="49"/>
      <c r="AG446" s="49"/>
      <c r="AH446" s="49"/>
      <c r="AI446" s="49"/>
      <c r="AJ446" s="49"/>
      <c r="AK446" s="49"/>
      <c r="AL446" s="49"/>
      <c r="AM446" s="49"/>
      <c r="AN446" s="49"/>
      <c r="AO446" s="49"/>
      <c r="AP446" s="49"/>
      <c r="AQ446" s="49"/>
      <c r="AR446" s="49"/>
      <c r="AS446" s="49"/>
      <c r="AT446" s="49"/>
      <c r="AU446" s="49"/>
      <c r="AV446" s="49"/>
      <c r="AW446" s="49"/>
      <c r="AX446" s="49"/>
      <c r="AY446" s="49"/>
      <c r="AZ446" s="73">
        <f t="shared" si="108"/>
        <v>0</v>
      </c>
    </row>
    <row r="447" spans="1:52" ht="20.100000000000001" hidden="1" customHeight="1">
      <c r="A447" s="68"/>
      <c r="B447" s="69"/>
      <c r="C447" s="240" t="s">
        <v>638</v>
      </c>
      <c r="D447" s="240"/>
      <c r="E447" s="241"/>
      <c r="F447" s="70"/>
      <c r="G447" s="71"/>
      <c r="H447" s="71"/>
      <c r="I447" s="71"/>
      <c r="J447" s="240" t="s">
        <v>283</v>
      </c>
      <c r="K447" s="241"/>
      <c r="L447" s="49">
        <v>11550000</v>
      </c>
      <c r="M447" s="49">
        <v>3850000</v>
      </c>
      <c r="N447" s="49"/>
      <c r="O447" s="49"/>
      <c r="P447" s="49"/>
      <c r="Q447" s="49">
        <f>SUM(N447:P447)</f>
        <v>0</v>
      </c>
      <c r="R447" s="72">
        <f t="shared" si="110"/>
        <v>0</v>
      </c>
      <c r="S447" s="49">
        <f>M447-Q447</f>
        <v>3850000</v>
      </c>
      <c r="T447" s="49">
        <v>3850000</v>
      </c>
      <c r="U447" s="49">
        <f>T447+M447</f>
        <v>7700000</v>
      </c>
      <c r="V447" s="49">
        <f>T447+S447</f>
        <v>7700000</v>
      </c>
      <c r="W447" s="49"/>
      <c r="X447" s="49"/>
      <c r="Y447" s="49"/>
      <c r="Z447" s="49"/>
      <c r="AA447" s="49">
        <v>3850000</v>
      </c>
      <c r="AB447" s="49">
        <v>0</v>
      </c>
      <c r="AC447" s="49">
        <f t="shared" si="109"/>
        <v>-11550000</v>
      </c>
      <c r="AD447" s="49">
        <f>AA447+T447+M447</f>
        <v>11550000</v>
      </c>
      <c r="AE447" s="49"/>
      <c r="AF447" s="49"/>
      <c r="AG447" s="49"/>
      <c r="AH447" s="49"/>
      <c r="AI447" s="49"/>
      <c r="AJ447" s="49"/>
      <c r="AK447" s="49">
        <f>Z447+Y447+X447+W447+N447+AG447+AJ447+AI447+AH447</f>
        <v>0</v>
      </c>
      <c r="AL447" s="49">
        <f>AK447/AD447*100</f>
        <v>0</v>
      </c>
      <c r="AM447" s="49">
        <v>0</v>
      </c>
      <c r="AN447" s="49">
        <v>0</v>
      </c>
      <c r="AO447" s="49">
        <v>0</v>
      </c>
      <c r="AP447" s="49">
        <v>0</v>
      </c>
      <c r="AQ447" s="49"/>
      <c r="AR447" s="49"/>
      <c r="AS447" s="49"/>
      <c r="AT447" s="49"/>
      <c r="AU447" s="49"/>
      <c r="AV447" s="49"/>
      <c r="AW447" s="49"/>
      <c r="AX447" s="49"/>
      <c r="AY447" s="49"/>
      <c r="AZ447" s="73">
        <f t="shared" si="108"/>
        <v>0</v>
      </c>
    </row>
    <row r="448" spans="1:52" ht="20.100000000000001" hidden="1" customHeight="1">
      <c r="A448" s="68"/>
      <c r="B448" s="69"/>
      <c r="C448" s="240" t="s">
        <v>639</v>
      </c>
      <c r="D448" s="240"/>
      <c r="E448" s="241"/>
      <c r="F448" s="70"/>
      <c r="G448" s="71"/>
      <c r="H448" s="240" t="s">
        <v>143</v>
      </c>
      <c r="I448" s="240"/>
      <c r="J448" s="240"/>
      <c r="K448" s="241"/>
      <c r="L448" s="49"/>
      <c r="M448" s="49"/>
      <c r="N448" s="49"/>
      <c r="O448" s="49"/>
      <c r="P448" s="49"/>
      <c r="Q448" s="49"/>
      <c r="R448" s="72"/>
      <c r="S448" s="49"/>
      <c r="T448" s="49"/>
      <c r="U448" s="49"/>
      <c r="V448" s="49"/>
      <c r="W448" s="49"/>
      <c r="X448" s="49"/>
      <c r="Y448" s="49"/>
      <c r="Z448" s="49"/>
      <c r="AA448" s="49"/>
      <c r="AB448" s="49"/>
      <c r="AC448" s="49">
        <f t="shared" si="109"/>
        <v>0</v>
      </c>
      <c r="AD448" s="49"/>
      <c r="AE448" s="49"/>
      <c r="AF448" s="49"/>
      <c r="AG448" s="49"/>
      <c r="AH448" s="49"/>
      <c r="AI448" s="49"/>
      <c r="AJ448" s="49"/>
      <c r="AK448" s="49"/>
      <c r="AL448" s="49"/>
      <c r="AM448" s="49"/>
      <c r="AN448" s="49"/>
      <c r="AO448" s="49"/>
      <c r="AP448" s="49"/>
      <c r="AQ448" s="49"/>
      <c r="AR448" s="49"/>
      <c r="AS448" s="49"/>
      <c r="AT448" s="49"/>
      <c r="AU448" s="49"/>
      <c r="AV448" s="49"/>
      <c r="AW448" s="49"/>
      <c r="AX448" s="49"/>
      <c r="AY448" s="49"/>
      <c r="AZ448" s="73">
        <f t="shared" si="108"/>
        <v>0</v>
      </c>
    </row>
    <row r="449" spans="1:53" ht="20.100000000000001" hidden="1" customHeight="1">
      <c r="A449" s="68"/>
      <c r="B449" s="69"/>
      <c r="C449" s="240" t="s">
        <v>640</v>
      </c>
      <c r="D449" s="240"/>
      <c r="E449" s="241"/>
      <c r="F449" s="70"/>
      <c r="G449" s="71"/>
      <c r="H449" s="71"/>
      <c r="I449" s="240" t="s">
        <v>145</v>
      </c>
      <c r="J449" s="240"/>
      <c r="K449" s="241"/>
      <c r="L449" s="49"/>
      <c r="M449" s="49"/>
      <c r="N449" s="49"/>
      <c r="O449" s="49"/>
      <c r="P449" s="49"/>
      <c r="Q449" s="49"/>
      <c r="R449" s="72"/>
      <c r="S449" s="49"/>
      <c r="T449" s="49">
        <v>0</v>
      </c>
      <c r="U449" s="49">
        <f>T449+M449</f>
        <v>0</v>
      </c>
      <c r="V449" s="49">
        <f>T449+S449</f>
        <v>0</v>
      </c>
      <c r="W449" s="49"/>
      <c r="X449" s="49"/>
      <c r="Y449" s="49"/>
      <c r="Z449" s="49"/>
      <c r="AA449" s="49"/>
      <c r="AB449" s="49"/>
      <c r="AC449" s="49">
        <f t="shared" si="109"/>
        <v>0</v>
      </c>
      <c r="AD449" s="49"/>
      <c r="AE449" s="49"/>
      <c r="AF449" s="49"/>
      <c r="AG449" s="49"/>
      <c r="AH449" s="49"/>
      <c r="AI449" s="49"/>
      <c r="AJ449" s="49"/>
      <c r="AK449" s="49"/>
      <c r="AL449" s="49"/>
      <c r="AM449" s="49"/>
      <c r="AN449" s="49"/>
      <c r="AO449" s="49"/>
      <c r="AP449" s="49"/>
      <c r="AQ449" s="49"/>
      <c r="AR449" s="49"/>
      <c r="AS449" s="49"/>
      <c r="AT449" s="49"/>
      <c r="AU449" s="49"/>
      <c r="AV449" s="49"/>
      <c r="AW449" s="49"/>
      <c r="AX449" s="49"/>
      <c r="AY449" s="49"/>
      <c r="AZ449" s="73">
        <f t="shared" si="108"/>
        <v>0</v>
      </c>
    </row>
    <row r="450" spans="1:53" ht="20.100000000000001" hidden="1" customHeight="1">
      <c r="A450" s="68"/>
      <c r="B450" s="69"/>
      <c r="C450" s="240" t="s">
        <v>641</v>
      </c>
      <c r="D450" s="240"/>
      <c r="E450" s="241"/>
      <c r="F450" s="70"/>
      <c r="G450" s="71"/>
      <c r="H450" s="71"/>
      <c r="I450" s="71"/>
      <c r="J450" s="240" t="s">
        <v>147</v>
      </c>
      <c r="K450" s="241"/>
      <c r="L450" s="49">
        <v>946250</v>
      </c>
      <c r="M450" s="49">
        <v>946250</v>
      </c>
      <c r="N450" s="49"/>
      <c r="O450" s="49"/>
      <c r="P450" s="49"/>
      <c r="Q450" s="49">
        <f>SUM(N450:P450)</f>
        <v>0</v>
      </c>
      <c r="R450" s="72">
        <f t="shared" si="110"/>
        <v>0</v>
      </c>
      <c r="S450" s="49">
        <f>M450-Q450</f>
        <v>946250</v>
      </c>
      <c r="T450" s="49">
        <v>0</v>
      </c>
      <c r="U450" s="49">
        <f>T450+M450</f>
        <v>946250</v>
      </c>
      <c r="V450" s="49">
        <f>T450+S450</f>
        <v>946250</v>
      </c>
      <c r="W450" s="49"/>
      <c r="X450" s="49"/>
      <c r="Y450" s="49"/>
      <c r="Z450" s="49"/>
      <c r="AA450" s="49">
        <v>0</v>
      </c>
      <c r="AB450" s="49">
        <v>0</v>
      </c>
      <c r="AC450" s="49">
        <f t="shared" si="109"/>
        <v>-946250</v>
      </c>
      <c r="AD450" s="49">
        <f>AA450+T450+M450</f>
        <v>946250</v>
      </c>
      <c r="AE450" s="49"/>
      <c r="AF450" s="49"/>
      <c r="AG450" s="49"/>
      <c r="AH450" s="49"/>
      <c r="AI450" s="49"/>
      <c r="AJ450" s="49"/>
      <c r="AK450" s="49">
        <f>Z450+Y450+X450+W450+N450+AG450+AJ450+AI450+AH450</f>
        <v>0</v>
      </c>
      <c r="AL450" s="49">
        <f>AK450/AD450*100</f>
        <v>0</v>
      </c>
      <c r="AM450" s="49">
        <v>0</v>
      </c>
      <c r="AN450" s="49">
        <v>0</v>
      </c>
      <c r="AO450" s="49">
        <v>0</v>
      </c>
      <c r="AP450" s="49">
        <v>0</v>
      </c>
      <c r="AQ450" s="49"/>
      <c r="AR450" s="49"/>
      <c r="AS450" s="49"/>
      <c r="AT450" s="49"/>
      <c r="AU450" s="49"/>
      <c r="AV450" s="49"/>
      <c r="AW450" s="49"/>
      <c r="AX450" s="49"/>
      <c r="AY450" s="49"/>
      <c r="AZ450" s="73">
        <f t="shared" si="108"/>
        <v>0</v>
      </c>
    </row>
    <row r="451" spans="1:53" ht="20.100000000000001" hidden="1" customHeight="1">
      <c r="A451" s="68"/>
      <c r="B451" s="69"/>
      <c r="C451" s="240" t="s">
        <v>642</v>
      </c>
      <c r="D451" s="240"/>
      <c r="E451" s="241"/>
      <c r="F451" s="70"/>
      <c r="G451" s="71"/>
      <c r="H451" s="71"/>
      <c r="I451" s="240" t="s">
        <v>151</v>
      </c>
      <c r="J451" s="240"/>
      <c r="K451" s="241"/>
      <c r="L451" s="49"/>
      <c r="M451" s="49"/>
      <c r="N451" s="49"/>
      <c r="O451" s="49"/>
      <c r="P451" s="49"/>
      <c r="Q451" s="49"/>
      <c r="R451" s="72"/>
      <c r="S451" s="49"/>
      <c r="T451" s="49"/>
      <c r="U451" s="49"/>
      <c r="V451" s="49"/>
      <c r="W451" s="49"/>
      <c r="X451" s="49"/>
      <c r="Y451" s="49"/>
      <c r="Z451" s="49"/>
      <c r="AA451" s="49"/>
      <c r="AB451" s="49"/>
      <c r="AC451" s="49">
        <f t="shared" si="109"/>
        <v>0</v>
      </c>
      <c r="AD451" s="49"/>
      <c r="AE451" s="49"/>
      <c r="AF451" s="49"/>
      <c r="AG451" s="49"/>
      <c r="AH451" s="49"/>
      <c r="AI451" s="49"/>
      <c r="AJ451" s="49"/>
      <c r="AK451" s="49"/>
      <c r="AL451" s="49"/>
      <c r="AM451" s="49"/>
      <c r="AN451" s="49"/>
      <c r="AO451" s="49"/>
      <c r="AP451" s="49"/>
      <c r="AQ451" s="49"/>
      <c r="AR451" s="49"/>
      <c r="AS451" s="49"/>
      <c r="AT451" s="49"/>
      <c r="AU451" s="49"/>
      <c r="AV451" s="49"/>
      <c r="AW451" s="49"/>
      <c r="AX451" s="49"/>
      <c r="AY451" s="49"/>
      <c r="AZ451" s="73">
        <f t="shared" si="108"/>
        <v>0</v>
      </c>
    </row>
    <row r="452" spans="1:53" ht="20.100000000000001" hidden="1" customHeight="1">
      <c r="A452" s="68"/>
      <c r="B452" s="69"/>
      <c r="C452" s="240" t="s">
        <v>643</v>
      </c>
      <c r="D452" s="240"/>
      <c r="E452" s="241"/>
      <c r="F452" s="70"/>
      <c r="G452" s="71"/>
      <c r="H452" s="71"/>
      <c r="I452" s="71"/>
      <c r="J452" s="240" t="s">
        <v>155</v>
      </c>
      <c r="K452" s="241"/>
      <c r="L452" s="49">
        <v>918750</v>
      </c>
      <c r="M452" s="49">
        <v>450000</v>
      </c>
      <c r="N452" s="49"/>
      <c r="O452" s="49"/>
      <c r="P452" s="49"/>
      <c r="Q452" s="49">
        <f>SUM(N452:P452)</f>
        <v>0</v>
      </c>
      <c r="R452" s="72">
        <f t="shared" si="110"/>
        <v>0</v>
      </c>
      <c r="S452" s="49">
        <f>M452-Q452</f>
        <v>450000</v>
      </c>
      <c r="T452" s="49">
        <v>468750</v>
      </c>
      <c r="U452" s="49">
        <f>T452+M452</f>
        <v>918750</v>
      </c>
      <c r="V452" s="49">
        <f>T452+S452</f>
        <v>918750</v>
      </c>
      <c r="W452" s="49"/>
      <c r="X452" s="49"/>
      <c r="Y452" s="49"/>
      <c r="Z452" s="49"/>
      <c r="AA452" s="49">
        <v>0</v>
      </c>
      <c r="AB452" s="49">
        <v>0</v>
      </c>
      <c r="AC452" s="49">
        <f t="shared" si="109"/>
        <v>-918750</v>
      </c>
      <c r="AD452" s="49">
        <f>AA452+T452+M452</f>
        <v>918750</v>
      </c>
      <c r="AE452" s="49"/>
      <c r="AF452" s="49"/>
      <c r="AG452" s="49"/>
      <c r="AH452" s="49"/>
      <c r="AI452" s="49"/>
      <c r="AJ452" s="49"/>
      <c r="AK452" s="49">
        <f>Z452+Y452+X452+W452+N452+AG452+AJ452+AI452+AH452</f>
        <v>0</v>
      </c>
      <c r="AL452" s="49">
        <f>AK452/AD452*100</f>
        <v>0</v>
      </c>
      <c r="AM452" s="49">
        <v>0</v>
      </c>
      <c r="AN452" s="49">
        <v>0</v>
      </c>
      <c r="AO452" s="49">
        <v>0</v>
      </c>
      <c r="AP452" s="49">
        <v>0</v>
      </c>
      <c r="AQ452" s="49"/>
      <c r="AR452" s="49"/>
      <c r="AS452" s="49"/>
      <c r="AT452" s="49"/>
      <c r="AU452" s="49"/>
      <c r="AV452" s="49"/>
      <c r="AW452" s="49"/>
      <c r="AX452" s="49"/>
      <c r="AY452" s="49"/>
      <c r="AZ452" s="73">
        <f t="shared" si="108"/>
        <v>0</v>
      </c>
    </row>
    <row r="453" spans="1:53" ht="20.100000000000001" hidden="1" customHeight="1">
      <c r="A453" s="68"/>
      <c r="B453" s="69"/>
      <c r="C453" s="240" t="s">
        <v>644</v>
      </c>
      <c r="D453" s="240"/>
      <c r="E453" s="241"/>
      <c r="F453" s="70"/>
      <c r="G453" s="71"/>
      <c r="H453" s="71"/>
      <c r="I453" s="240" t="s">
        <v>193</v>
      </c>
      <c r="J453" s="240"/>
      <c r="K453" s="241"/>
      <c r="L453" s="49"/>
      <c r="M453" s="49"/>
      <c r="N453" s="49"/>
      <c r="O453" s="49"/>
      <c r="P453" s="49"/>
      <c r="Q453" s="49"/>
      <c r="R453" s="72"/>
      <c r="S453" s="49"/>
      <c r="T453" s="49"/>
      <c r="U453" s="49"/>
      <c r="V453" s="49"/>
      <c r="W453" s="49"/>
      <c r="X453" s="49"/>
      <c r="Y453" s="49"/>
      <c r="Z453" s="49"/>
      <c r="AA453" s="49"/>
      <c r="AB453" s="49"/>
      <c r="AC453" s="49">
        <f t="shared" si="109"/>
        <v>0</v>
      </c>
      <c r="AD453" s="49"/>
      <c r="AE453" s="49"/>
      <c r="AF453" s="49"/>
      <c r="AG453" s="49"/>
      <c r="AH453" s="49"/>
      <c r="AI453" s="49"/>
      <c r="AJ453" s="49"/>
      <c r="AK453" s="49"/>
      <c r="AL453" s="49"/>
      <c r="AM453" s="49"/>
      <c r="AN453" s="49"/>
      <c r="AO453" s="49"/>
      <c r="AP453" s="49"/>
      <c r="AQ453" s="49"/>
      <c r="AR453" s="49"/>
      <c r="AS453" s="49"/>
      <c r="AT453" s="49"/>
      <c r="AU453" s="49"/>
      <c r="AV453" s="49"/>
      <c r="AW453" s="49"/>
      <c r="AX453" s="49"/>
      <c r="AY453" s="49"/>
      <c r="AZ453" s="73">
        <f t="shared" si="108"/>
        <v>0</v>
      </c>
    </row>
    <row r="454" spans="1:53" ht="20.100000000000001" hidden="1" customHeight="1">
      <c r="A454" s="68"/>
      <c r="B454" s="69"/>
      <c r="C454" s="240" t="s">
        <v>645</v>
      </c>
      <c r="D454" s="240"/>
      <c r="E454" s="241"/>
      <c r="F454" s="70"/>
      <c r="G454" s="71"/>
      <c r="H454" s="71"/>
      <c r="I454" s="71"/>
      <c r="J454" s="240" t="s">
        <v>195</v>
      </c>
      <c r="K454" s="241"/>
      <c r="L454" s="49">
        <v>10150000</v>
      </c>
      <c r="M454" s="49">
        <v>2275000</v>
      </c>
      <c r="N454" s="49"/>
      <c r="O454" s="49"/>
      <c r="P454" s="49"/>
      <c r="Q454" s="49">
        <f>SUM(N454:P454)</f>
        <v>0</v>
      </c>
      <c r="R454" s="72">
        <f t="shared" si="110"/>
        <v>0</v>
      </c>
      <c r="S454" s="49">
        <f>M454-Q454</f>
        <v>2275000</v>
      </c>
      <c r="T454" s="49">
        <v>2450000</v>
      </c>
      <c r="U454" s="49">
        <f>T454+M454</f>
        <v>4725000</v>
      </c>
      <c r="V454" s="49">
        <f>T454+S454</f>
        <v>4725000</v>
      </c>
      <c r="W454" s="49"/>
      <c r="X454" s="49"/>
      <c r="Y454" s="49"/>
      <c r="Z454" s="49"/>
      <c r="AA454" s="49">
        <v>4200000</v>
      </c>
      <c r="AB454" s="49">
        <v>0</v>
      </c>
      <c r="AC454" s="49">
        <f t="shared" si="109"/>
        <v>-10150000</v>
      </c>
      <c r="AD454" s="49">
        <f>AA454+T454+M454</f>
        <v>8925000</v>
      </c>
      <c r="AE454" s="49"/>
      <c r="AF454" s="49"/>
      <c r="AG454" s="49"/>
      <c r="AH454" s="49"/>
      <c r="AI454" s="49"/>
      <c r="AJ454" s="49"/>
      <c r="AK454" s="49">
        <f>Z454+Y454+X454+W454+N454+AG454+AJ454+AI454+AH454</f>
        <v>0</v>
      </c>
      <c r="AL454" s="49">
        <f>AK454/AD454*100</f>
        <v>0</v>
      </c>
      <c r="AM454" s="49">
        <v>0</v>
      </c>
      <c r="AN454" s="49">
        <v>0</v>
      </c>
      <c r="AO454" s="49">
        <v>0</v>
      </c>
      <c r="AP454" s="49">
        <v>0</v>
      </c>
      <c r="AQ454" s="49"/>
      <c r="AR454" s="49"/>
      <c r="AS454" s="49"/>
      <c r="AT454" s="49"/>
      <c r="AU454" s="49"/>
      <c r="AV454" s="49"/>
      <c r="AW454" s="49"/>
      <c r="AX454" s="49"/>
      <c r="AY454" s="49"/>
      <c r="AZ454" s="73">
        <f t="shared" si="108"/>
        <v>0</v>
      </c>
    </row>
    <row r="455" spans="1:53" ht="20.100000000000001" hidden="1" customHeight="1">
      <c r="A455" s="68"/>
      <c r="B455" s="69"/>
      <c r="C455" s="240" t="s">
        <v>646</v>
      </c>
      <c r="D455" s="240"/>
      <c r="E455" s="241"/>
      <c r="F455" s="70"/>
      <c r="G455" s="71"/>
      <c r="H455" s="71"/>
      <c r="I455" s="240" t="s">
        <v>157</v>
      </c>
      <c r="J455" s="240"/>
      <c r="K455" s="241"/>
      <c r="L455" s="49"/>
      <c r="M455" s="49"/>
      <c r="N455" s="49"/>
      <c r="O455" s="49"/>
      <c r="P455" s="49"/>
      <c r="Q455" s="49"/>
      <c r="R455" s="72"/>
      <c r="S455" s="49"/>
      <c r="T455" s="49"/>
      <c r="U455" s="49"/>
      <c r="V455" s="49"/>
      <c r="W455" s="49"/>
      <c r="X455" s="49"/>
      <c r="Y455" s="49"/>
      <c r="Z455" s="49"/>
      <c r="AA455" s="49"/>
      <c r="AB455" s="49"/>
      <c r="AC455" s="49">
        <f t="shared" si="109"/>
        <v>0</v>
      </c>
      <c r="AD455" s="49"/>
      <c r="AE455" s="49"/>
      <c r="AF455" s="49"/>
      <c r="AG455" s="49"/>
      <c r="AH455" s="49"/>
      <c r="AI455" s="49"/>
      <c r="AJ455" s="49"/>
      <c r="AK455" s="49"/>
      <c r="AL455" s="49"/>
      <c r="AM455" s="49"/>
      <c r="AN455" s="49"/>
      <c r="AO455" s="49"/>
      <c r="AP455" s="49"/>
      <c r="AQ455" s="49"/>
      <c r="AR455" s="49"/>
      <c r="AS455" s="49"/>
      <c r="AT455" s="49"/>
      <c r="AU455" s="49"/>
      <c r="AV455" s="49"/>
      <c r="AW455" s="49"/>
      <c r="AX455" s="49"/>
      <c r="AY455" s="49"/>
      <c r="AZ455" s="73">
        <f t="shared" si="108"/>
        <v>0</v>
      </c>
    </row>
    <row r="456" spans="1:53" ht="20.100000000000001" hidden="1" customHeight="1">
      <c r="A456" s="68"/>
      <c r="B456" s="69"/>
      <c r="C456" s="240" t="s">
        <v>647</v>
      </c>
      <c r="D456" s="240"/>
      <c r="E456" s="241"/>
      <c r="F456" s="70"/>
      <c r="G456" s="71"/>
      <c r="H456" s="71"/>
      <c r="I456" s="71"/>
      <c r="J456" s="240" t="s">
        <v>159</v>
      </c>
      <c r="K456" s="241"/>
      <c r="L456" s="49">
        <v>18240000</v>
      </c>
      <c r="M456" s="49">
        <v>2605000</v>
      </c>
      <c r="N456" s="49"/>
      <c r="O456" s="49"/>
      <c r="P456" s="49"/>
      <c r="Q456" s="49">
        <f>SUM(N456:P456)</f>
        <v>0</v>
      </c>
      <c r="R456" s="72">
        <f t="shared" si="110"/>
        <v>0</v>
      </c>
      <c r="S456" s="49">
        <f>M456-Q456</f>
        <v>2605000</v>
      </c>
      <c r="T456" s="49">
        <v>5210000</v>
      </c>
      <c r="U456" s="49">
        <f>T456+M456</f>
        <v>7815000</v>
      </c>
      <c r="V456" s="49">
        <f>T456+S456</f>
        <v>7815000</v>
      </c>
      <c r="W456" s="49"/>
      <c r="X456" s="49"/>
      <c r="Y456" s="49"/>
      <c r="Z456" s="49"/>
      <c r="AA456" s="49">
        <v>7815000</v>
      </c>
      <c r="AB456" s="49">
        <v>0</v>
      </c>
      <c r="AC456" s="49">
        <f t="shared" si="109"/>
        <v>-18240000</v>
      </c>
      <c r="AD456" s="49">
        <f>AA456+T456+M456</f>
        <v>15630000</v>
      </c>
      <c r="AE456" s="49"/>
      <c r="AF456" s="49"/>
      <c r="AG456" s="49"/>
      <c r="AH456" s="49"/>
      <c r="AI456" s="49"/>
      <c r="AJ456" s="49"/>
      <c r="AK456" s="49">
        <f>Z456+Y456+X456+W456+N456+AG456+AJ456+AI456+AH456</f>
        <v>0</v>
      </c>
      <c r="AL456" s="49">
        <f>AK456/AD456*100</f>
        <v>0</v>
      </c>
      <c r="AM456" s="49">
        <v>0</v>
      </c>
      <c r="AN456" s="49">
        <v>0</v>
      </c>
      <c r="AO456" s="49">
        <v>0</v>
      </c>
      <c r="AP456" s="49">
        <v>0</v>
      </c>
      <c r="AQ456" s="49"/>
      <c r="AR456" s="49"/>
      <c r="AS456" s="49"/>
      <c r="AT456" s="49"/>
      <c r="AU456" s="49"/>
      <c r="AV456" s="49"/>
      <c r="AW456" s="49"/>
      <c r="AX456" s="49"/>
      <c r="AY456" s="49"/>
      <c r="AZ456" s="73">
        <f t="shared" si="108"/>
        <v>0</v>
      </c>
    </row>
    <row r="457" spans="1:53" ht="20.100000000000001" customHeight="1">
      <c r="A457" s="62">
        <v>29</v>
      </c>
      <c r="B457" s="63"/>
      <c r="C457" s="242" t="s">
        <v>648</v>
      </c>
      <c r="D457" s="242"/>
      <c r="E457" s="243"/>
      <c r="F457" s="64"/>
      <c r="G457" s="244" t="s">
        <v>649</v>
      </c>
      <c r="H457" s="244"/>
      <c r="I457" s="244"/>
      <c r="J457" s="244"/>
      <c r="K457" s="245"/>
      <c r="L457" s="65">
        <f>SUM(L460:L472)</f>
        <v>50000000</v>
      </c>
      <c r="M457" s="65">
        <f>SUM(M460:M472)</f>
        <v>0</v>
      </c>
      <c r="N457" s="65">
        <f>SUM(N460:N472)</f>
        <v>0</v>
      </c>
      <c r="O457" s="65">
        <f>SUM(O460:O472)</f>
        <v>0</v>
      </c>
      <c r="P457" s="65">
        <f>SUM(P460:P472)</f>
        <v>0</v>
      </c>
      <c r="Q457" s="65">
        <f>SUM(N457:P457)</f>
        <v>0</v>
      </c>
      <c r="R457" s="66"/>
      <c r="S457" s="65">
        <f>M457-Q457</f>
        <v>0</v>
      </c>
      <c r="T457" s="65">
        <f>SUM(T460:T472)</f>
        <v>0</v>
      </c>
      <c r="U457" s="65">
        <f>T457+M457</f>
        <v>0</v>
      </c>
      <c r="V457" s="65">
        <f>T457+S457</f>
        <v>0</v>
      </c>
      <c r="W457" s="65">
        <f>SUM(W460:W472)</f>
        <v>0</v>
      </c>
      <c r="X457" s="65">
        <f>SUM(X460:X472)</f>
        <v>0</v>
      </c>
      <c r="Y457" s="65">
        <f>SUM(Y460:Y472)</f>
        <v>0</v>
      </c>
      <c r="Z457" s="65"/>
      <c r="AA457" s="65">
        <f>SUM(AA460:AA472)</f>
        <v>28195000</v>
      </c>
      <c r="AB457" s="65">
        <f>SUM(AB460:AB472)</f>
        <v>50000000</v>
      </c>
      <c r="AC457" s="65">
        <f t="shared" si="109"/>
        <v>0</v>
      </c>
      <c r="AD457" s="65">
        <f>AA457+T457+M457</f>
        <v>28195000</v>
      </c>
      <c r="AE457" s="65">
        <f>SUM(AE460:AE472)</f>
        <v>0</v>
      </c>
      <c r="AF457" s="65">
        <f>SUM(AF460:AF472)</f>
        <v>0</v>
      </c>
      <c r="AG457" s="65">
        <f>SUM(AG460:AG472)</f>
        <v>0</v>
      </c>
      <c r="AH457" s="65">
        <f>SUM(AH460:AH472)</f>
        <v>0</v>
      </c>
      <c r="AI457" s="78"/>
      <c r="AJ457" s="65">
        <f>SUM(AJ460:AJ472)</f>
        <v>27384640</v>
      </c>
      <c r="AK457" s="65">
        <f>SUM(AK460:AK472)</f>
        <v>27384640</v>
      </c>
      <c r="AL457" s="65">
        <f>AK457/AB457*100</f>
        <v>54.769279999999995</v>
      </c>
      <c r="AM457" s="65">
        <f>SUM(AM460:AM472)</f>
        <v>0</v>
      </c>
      <c r="AN457" s="65">
        <f>SUM(AN460:AN472)</f>
        <v>0</v>
      </c>
      <c r="AO457" s="42">
        <f>SUM(AO460:AO472)</f>
        <v>22465000</v>
      </c>
      <c r="AP457" s="65">
        <f>SUM(AP460:AP472)</f>
        <v>0</v>
      </c>
      <c r="AQ457" s="65">
        <f>AK457+AM457+AN457+AO457+AP457</f>
        <v>49849640</v>
      </c>
      <c r="AR457" s="65">
        <f>AQ457/AB457*100</f>
        <v>99.699280000000002</v>
      </c>
      <c r="AS457" s="65">
        <f>AB457-AQ457</f>
        <v>150360</v>
      </c>
      <c r="AT457" s="65">
        <f>SUM(AT460:AT466)</f>
        <v>9274500</v>
      </c>
      <c r="AU457" s="65">
        <f>AT457+U457</f>
        <v>9274500</v>
      </c>
      <c r="AV457" s="65">
        <f>AK457</f>
        <v>27384640</v>
      </c>
      <c r="AW457" s="66">
        <f>AV457/AU457*100</f>
        <v>295.26810070623753</v>
      </c>
      <c r="AX457" s="65">
        <f>AU457-AV457</f>
        <v>-18110140</v>
      </c>
      <c r="AY457" s="65">
        <f>AS457/AB457*100</f>
        <v>0.30071999999999999</v>
      </c>
      <c r="AZ457" s="67">
        <f t="shared" si="108"/>
        <v>27384640</v>
      </c>
      <c r="BA457" s="29">
        <f>AS457</f>
        <v>150360</v>
      </c>
    </row>
    <row r="458" spans="1:53" ht="20.100000000000001" hidden="1" customHeight="1">
      <c r="A458" s="68"/>
      <c r="B458" s="69"/>
      <c r="C458" s="240" t="s">
        <v>650</v>
      </c>
      <c r="D458" s="240"/>
      <c r="E458" s="241"/>
      <c r="F458" s="70"/>
      <c r="G458" s="71"/>
      <c r="H458" s="240" t="s">
        <v>10</v>
      </c>
      <c r="I458" s="240"/>
      <c r="J458" s="240"/>
      <c r="K458" s="241"/>
      <c r="L458" s="49"/>
      <c r="M458" s="49"/>
      <c r="N458" s="49"/>
      <c r="O458" s="49"/>
      <c r="P458" s="49"/>
      <c r="Q458" s="49"/>
      <c r="R458" s="72"/>
      <c r="S458" s="49"/>
      <c r="T458" s="49"/>
      <c r="U458" s="49"/>
      <c r="V458" s="49"/>
      <c r="W458" s="49"/>
      <c r="X458" s="49"/>
      <c r="Y458" s="49"/>
      <c r="Z458" s="49"/>
      <c r="AA458" s="49"/>
      <c r="AB458" s="49"/>
      <c r="AC458" s="49">
        <f t="shared" si="109"/>
        <v>0</v>
      </c>
      <c r="AD458" s="49"/>
      <c r="AE458" s="49"/>
      <c r="AF458" s="49"/>
      <c r="AG458" s="49"/>
      <c r="AH458" s="49"/>
      <c r="AI458" s="49"/>
      <c r="AJ458" s="49"/>
      <c r="AK458" s="49"/>
      <c r="AL458" s="49"/>
      <c r="AM458" s="49"/>
      <c r="AN458" s="49"/>
      <c r="AO458" s="49"/>
      <c r="AP458" s="49"/>
      <c r="AQ458" s="49"/>
      <c r="AR458" s="49"/>
      <c r="AS458" s="49"/>
      <c r="AT458" s="49"/>
      <c r="AU458" s="49"/>
      <c r="AV458" s="49"/>
      <c r="AW458" s="49"/>
      <c r="AX458" s="49"/>
      <c r="AY458" s="49"/>
      <c r="AZ458" s="73">
        <f t="shared" si="108"/>
        <v>0</v>
      </c>
    </row>
    <row r="459" spans="1:53" ht="20.100000000000001" hidden="1" customHeight="1">
      <c r="A459" s="68"/>
      <c r="B459" s="69"/>
      <c r="C459" s="240" t="s">
        <v>651</v>
      </c>
      <c r="D459" s="240"/>
      <c r="E459" s="241"/>
      <c r="F459" s="70"/>
      <c r="G459" s="71"/>
      <c r="H459" s="71"/>
      <c r="I459" s="240" t="s">
        <v>177</v>
      </c>
      <c r="J459" s="240"/>
      <c r="K459" s="241"/>
      <c r="L459" s="49"/>
      <c r="M459" s="49"/>
      <c r="N459" s="49"/>
      <c r="O459" s="49"/>
      <c r="P459" s="49"/>
      <c r="Q459" s="49"/>
      <c r="R459" s="72"/>
      <c r="S459" s="49"/>
      <c r="T459" s="49"/>
      <c r="U459" s="49"/>
      <c r="V459" s="49"/>
      <c r="W459" s="49"/>
      <c r="X459" s="49"/>
      <c r="Y459" s="49"/>
      <c r="Z459" s="49"/>
      <c r="AA459" s="49"/>
      <c r="AB459" s="49"/>
      <c r="AC459" s="49">
        <f t="shared" si="109"/>
        <v>0</v>
      </c>
      <c r="AD459" s="49"/>
      <c r="AE459" s="49"/>
      <c r="AF459" s="49"/>
      <c r="AG459" s="49"/>
      <c r="AH459" s="49"/>
      <c r="AI459" s="49"/>
      <c r="AJ459" s="49"/>
      <c r="AK459" s="49"/>
      <c r="AL459" s="49"/>
      <c r="AM459" s="49"/>
      <c r="AN459" s="49"/>
      <c r="AO459" s="49"/>
      <c r="AP459" s="49"/>
      <c r="AQ459" s="49"/>
      <c r="AR459" s="49"/>
      <c r="AS459" s="49"/>
      <c r="AT459" s="49"/>
      <c r="AU459" s="49"/>
      <c r="AV459" s="49"/>
      <c r="AW459" s="49"/>
      <c r="AX459" s="49"/>
      <c r="AY459" s="49"/>
      <c r="AZ459" s="73">
        <f t="shared" si="108"/>
        <v>0</v>
      </c>
    </row>
    <row r="460" spans="1:53" ht="20.100000000000001" hidden="1" customHeight="1">
      <c r="A460" s="68"/>
      <c r="B460" s="69"/>
      <c r="C460" s="240" t="s">
        <v>652</v>
      </c>
      <c r="D460" s="240"/>
      <c r="E460" s="241"/>
      <c r="F460" s="70"/>
      <c r="G460" s="71"/>
      <c r="H460" s="71"/>
      <c r="I460" s="71"/>
      <c r="J460" s="240" t="s">
        <v>283</v>
      </c>
      <c r="K460" s="241"/>
      <c r="L460" s="49">
        <v>13100000</v>
      </c>
      <c r="M460" s="49">
        <v>0</v>
      </c>
      <c r="N460" s="49"/>
      <c r="O460" s="49"/>
      <c r="P460" s="49"/>
      <c r="Q460" s="49">
        <f>SUM(N460:P460)</f>
        <v>0</v>
      </c>
      <c r="R460" s="72"/>
      <c r="S460" s="49">
        <f>M460-Q460</f>
        <v>0</v>
      </c>
      <c r="T460" s="49">
        <v>0</v>
      </c>
      <c r="U460" s="49">
        <f>T460+M460</f>
        <v>0</v>
      </c>
      <c r="V460" s="49">
        <f>T460+S460</f>
        <v>0</v>
      </c>
      <c r="W460" s="49"/>
      <c r="X460" s="49"/>
      <c r="Y460" s="49"/>
      <c r="Z460" s="49"/>
      <c r="AA460" s="49">
        <v>6550000</v>
      </c>
      <c r="AB460" s="49">
        <v>13100000</v>
      </c>
      <c r="AC460" s="49">
        <f t="shared" si="109"/>
        <v>0</v>
      </c>
      <c r="AD460" s="49">
        <f>AA460+T460+M460</f>
        <v>6550000</v>
      </c>
      <c r="AE460" s="49"/>
      <c r="AF460" s="49"/>
      <c r="AG460" s="49"/>
      <c r="AH460" s="49"/>
      <c r="AI460" s="49"/>
      <c r="AJ460" s="49">
        <v>6550000</v>
      </c>
      <c r="AK460" s="49">
        <f>Z460+Y460+X460+W460+N460+AG460+AJ460+AI460+AH460</f>
        <v>6550000</v>
      </c>
      <c r="AL460" s="49">
        <f>AK460/AD460*100</f>
        <v>100</v>
      </c>
      <c r="AM460" s="49"/>
      <c r="AN460" s="49"/>
      <c r="AO460" s="42">
        <v>6550000</v>
      </c>
      <c r="AP460" s="49"/>
      <c r="AQ460" s="49">
        <f>AK460+AM460+AN460+AO460+AP460</f>
        <v>13100000</v>
      </c>
      <c r="AR460" s="49">
        <f>AQ460/AB460*100</f>
        <v>100</v>
      </c>
      <c r="AS460" s="49">
        <f>AB460-AQ460</f>
        <v>0</v>
      </c>
      <c r="AT460" s="49">
        <v>3091500</v>
      </c>
      <c r="AU460" s="49">
        <f>AT460+U460</f>
        <v>3091500</v>
      </c>
      <c r="AV460" s="49">
        <f>AK460</f>
        <v>6550000</v>
      </c>
      <c r="AW460" s="72">
        <f>AV460/AU460*100</f>
        <v>211.87125990619441</v>
      </c>
      <c r="AX460" s="49">
        <f>AU460-AV460</f>
        <v>-3458500</v>
      </c>
      <c r="AY460" s="49">
        <f>AS460/AB460*100</f>
        <v>0</v>
      </c>
      <c r="AZ460" s="73">
        <f t="shared" si="108"/>
        <v>6550000</v>
      </c>
    </row>
    <row r="461" spans="1:53" ht="20.100000000000001" hidden="1" customHeight="1">
      <c r="A461" s="68"/>
      <c r="B461" s="69"/>
      <c r="C461" s="240" t="s">
        <v>653</v>
      </c>
      <c r="D461" s="240"/>
      <c r="E461" s="241"/>
      <c r="F461" s="70"/>
      <c r="G461" s="71"/>
      <c r="H461" s="71"/>
      <c r="I461" s="240" t="s">
        <v>341</v>
      </c>
      <c r="J461" s="240"/>
      <c r="K461" s="241"/>
      <c r="L461" s="49"/>
      <c r="M461" s="49"/>
      <c r="N461" s="49"/>
      <c r="O461" s="49"/>
      <c r="P461" s="49"/>
      <c r="Q461" s="49"/>
      <c r="R461" s="72"/>
      <c r="S461" s="49"/>
      <c r="T461" s="49"/>
      <c r="U461" s="49"/>
      <c r="V461" s="49"/>
      <c r="W461" s="49"/>
      <c r="X461" s="49"/>
      <c r="Y461" s="49"/>
      <c r="Z461" s="49"/>
      <c r="AA461" s="49"/>
      <c r="AB461" s="49"/>
      <c r="AC461" s="49">
        <f t="shared" si="109"/>
        <v>0</v>
      </c>
      <c r="AD461" s="49"/>
      <c r="AE461" s="49"/>
      <c r="AF461" s="49"/>
      <c r="AG461" s="49"/>
      <c r="AH461" s="49"/>
      <c r="AI461" s="49"/>
      <c r="AJ461" s="49"/>
      <c r="AK461" s="49"/>
      <c r="AL461" s="49"/>
      <c r="AM461" s="49"/>
      <c r="AN461" s="49"/>
      <c r="AO461" s="49"/>
      <c r="AP461" s="49"/>
      <c r="AQ461" s="49"/>
      <c r="AR461" s="49"/>
      <c r="AS461" s="49"/>
      <c r="AT461" s="49"/>
      <c r="AU461" s="49"/>
      <c r="AV461" s="49"/>
      <c r="AW461" s="49"/>
      <c r="AX461" s="49"/>
      <c r="AY461" s="49"/>
      <c r="AZ461" s="73">
        <f t="shared" si="108"/>
        <v>0</v>
      </c>
    </row>
    <row r="462" spans="1:53" ht="20.100000000000001" hidden="1" customHeight="1">
      <c r="A462" s="68"/>
      <c r="B462" s="69"/>
      <c r="C462" s="240" t="s">
        <v>654</v>
      </c>
      <c r="D462" s="240"/>
      <c r="E462" s="241"/>
      <c r="F462" s="70"/>
      <c r="G462" s="71"/>
      <c r="H462" s="71"/>
      <c r="I462" s="71"/>
      <c r="J462" s="240" t="s">
        <v>283</v>
      </c>
      <c r="K462" s="241"/>
      <c r="L462" s="49">
        <v>14900000</v>
      </c>
      <c r="M462" s="49">
        <v>0</v>
      </c>
      <c r="N462" s="49"/>
      <c r="O462" s="49"/>
      <c r="P462" s="49"/>
      <c r="Q462" s="49">
        <f>SUM(N462:P462)</f>
        <v>0</v>
      </c>
      <c r="R462" s="72"/>
      <c r="S462" s="49">
        <f>M462-Q462</f>
        <v>0</v>
      </c>
      <c r="T462" s="49">
        <v>0</v>
      </c>
      <c r="U462" s="49">
        <f>T462+M462</f>
        <v>0</v>
      </c>
      <c r="V462" s="49">
        <f>T462+S462</f>
        <v>0</v>
      </c>
      <c r="W462" s="49"/>
      <c r="X462" s="49"/>
      <c r="Y462" s="49"/>
      <c r="Z462" s="49"/>
      <c r="AA462" s="49">
        <v>7450000</v>
      </c>
      <c r="AB462" s="49">
        <v>14900000</v>
      </c>
      <c r="AC462" s="49">
        <f t="shared" si="109"/>
        <v>0</v>
      </c>
      <c r="AD462" s="49">
        <f>AA462+T462+M462</f>
        <v>7450000</v>
      </c>
      <c r="AE462" s="49"/>
      <c r="AF462" s="49"/>
      <c r="AG462" s="49"/>
      <c r="AH462" s="49"/>
      <c r="AI462" s="49"/>
      <c r="AJ462" s="49">
        <v>7450000</v>
      </c>
      <c r="AK462" s="49">
        <f>Z462+Y462+X462+W462+N462+AG462+AJ462+AI462+AH462</f>
        <v>7450000</v>
      </c>
      <c r="AL462" s="49">
        <f>AK462/AD462*100</f>
        <v>100</v>
      </c>
      <c r="AM462" s="49"/>
      <c r="AN462" s="49"/>
      <c r="AO462" s="42">
        <v>7450000</v>
      </c>
      <c r="AP462" s="49"/>
      <c r="AQ462" s="49">
        <f>AK462+AM462+AN462+AO462+AP462</f>
        <v>14900000</v>
      </c>
      <c r="AR462" s="49">
        <f>AQ462/AB462*100</f>
        <v>100</v>
      </c>
      <c r="AS462" s="49">
        <f>AB462-AQ462</f>
        <v>0</v>
      </c>
      <c r="AT462" s="49">
        <v>3091500</v>
      </c>
      <c r="AU462" s="49">
        <f>AT462+U462</f>
        <v>3091500</v>
      </c>
      <c r="AV462" s="49">
        <f>AK462</f>
        <v>7450000</v>
      </c>
      <c r="AW462" s="72">
        <f>AV462/AU462*100</f>
        <v>240.98334142002264</v>
      </c>
      <c r="AX462" s="49">
        <f>AU462-AV462</f>
        <v>-4358500</v>
      </c>
      <c r="AY462" s="49">
        <f>AS462/AB462*100</f>
        <v>0</v>
      </c>
      <c r="AZ462" s="73">
        <f t="shared" si="108"/>
        <v>7450000</v>
      </c>
    </row>
    <row r="463" spans="1:53" ht="20.100000000000001" hidden="1" customHeight="1">
      <c r="A463" s="68"/>
      <c r="B463" s="69"/>
      <c r="C463" s="240" t="s">
        <v>655</v>
      </c>
      <c r="D463" s="240"/>
      <c r="E463" s="241"/>
      <c r="F463" s="70"/>
      <c r="G463" s="71"/>
      <c r="H463" s="240" t="s">
        <v>143</v>
      </c>
      <c r="I463" s="240"/>
      <c r="J463" s="240"/>
      <c r="K463" s="241"/>
      <c r="L463" s="49"/>
      <c r="M463" s="49"/>
      <c r="N463" s="49"/>
      <c r="O463" s="49"/>
      <c r="P463" s="49"/>
      <c r="Q463" s="49"/>
      <c r="R463" s="72"/>
      <c r="S463" s="49"/>
      <c r="T463" s="49"/>
      <c r="U463" s="49"/>
      <c r="V463" s="49"/>
      <c r="W463" s="49"/>
      <c r="X463" s="49"/>
      <c r="Y463" s="49"/>
      <c r="Z463" s="49"/>
      <c r="AA463" s="49"/>
      <c r="AB463" s="49"/>
      <c r="AC463" s="49">
        <f t="shared" si="109"/>
        <v>0</v>
      </c>
      <c r="AD463" s="49"/>
      <c r="AE463" s="49"/>
      <c r="AF463" s="49"/>
      <c r="AG463" s="49"/>
      <c r="AH463" s="49"/>
      <c r="AI463" s="49"/>
      <c r="AJ463" s="49"/>
      <c r="AK463" s="49"/>
      <c r="AL463" s="49"/>
      <c r="AM463" s="49"/>
      <c r="AN463" s="49"/>
      <c r="AO463" s="49"/>
      <c r="AP463" s="49"/>
      <c r="AQ463" s="49"/>
      <c r="AR463" s="49"/>
      <c r="AS463" s="49"/>
      <c r="AT463" s="49"/>
      <c r="AU463" s="49"/>
      <c r="AV463" s="49"/>
      <c r="AW463" s="49"/>
      <c r="AX463" s="49"/>
      <c r="AY463" s="49"/>
      <c r="AZ463" s="73">
        <f t="shared" si="108"/>
        <v>0</v>
      </c>
    </row>
    <row r="464" spans="1:53" ht="20.100000000000001" hidden="1" customHeight="1">
      <c r="A464" s="68"/>
      <c r="B464" s="69"/>
      <c r="C464" s="240" t="s">
        <v>656</v>
      </c>
      <c r="D464" s="240"/>
      <c r="E464" s="241"/>
      <c r="F464" s="70"/>
      <c r="G464" s="71"/>
      <c r="H464" s="71"/>
      <c r="I464" s="240" t="s">
        <v>145</v>
      </c>
      <c r="J464" s="240"/>
      <c r="K464" s="241"/>
      <c r="L464" s="49"/>
      <c r="M464" s="49"/>
      <c r="N464" s="49"/>
      <c r="O464" s="49"/>
      <c r="P464" s="49"/>
      <c r="Q464" s="49"/>
      <c r="R464" s="72"/>
      <c r="S464" s="49"/>
      <c r="T464" s="49"/>
      <c r="U464" s="49"/>
      <c r="V464" s="49"/>
      <c r="W464" s="49"/>
      <c r="X464" s="49"/>
      <c r="Y464" s="49"/>
      <c r="Z464" s="49"/>
      <c r="AA464" s="49"/>
      <c r="AB464" s="49"/>
      <c r="AC464" s="49">
        <f t="shared" si="109"/>
        <v>0</v>
      </c>
      <c r="AD464" s="49"/>
      <c r="AE464" s="49"/>
      <c r="AF464" s="49"/>
      <c r="AG464" s="49"/>
      <c r="AH464" s="49"/>
      <c r="AI464" s="49"/>
      <c r="AJ464" s="49"/>
      <c r="AK464" s="49"/>
      <c r="AL464" s="49"/>
      <c r="AM464" s="49"/>
      <c r="AN464" s="49"/>
      <c r="AO464" s="49"/>
      <c r="AP464" s="49"/>
      <c r="AQ464" s="49"/>
      <c r="AR464" s="49"/>
      <c r="AS464" s="49"/>
      <c r="AT464" s="49"/>
      <c r="AU464" s="49"/>
      <c r="AV464" s="49"/>
      <c r="AW464" s="49"/>
      <c r="AX464" s="49"/>
      <c r="AY464" s="49"/>
      <c r="AZ464" s="73">
        <f t="shared" si="108"/>
        <v>0</v>
      </c>
    </row>
    <row r="465" spans="1:53" ht="20.100000000000001" hidden="1" customHeight="1">
      <c r="A465" s="68"/>
      <c r="B465" s="69"/>
      <c r="C465" s="240" t="s">
        <v>657</v>
      </c>
      <c r="D465" s="240"/>
      <c r="E465" s="241"/>
      <c r="F465" s="70"/>
      <c r="G465" s="71"/>
      <c r="H465" s="71"/>
      <c r="I465" s="71"/>
      <c r="J465" s="240" t="s">
        <v>147</v>
      </c>
      <c r="K465" s="241"/>
      <c r="L465" s="49">
        <v>1010000</v>
      </c>
      <c r="M465" s="49">
        <v>0</v>
      </c>
      <c r="N465" s="49"/>
      <c r="O465" s="49"/>
      <c r="P465" s="49"/>
      <c r="Q465" s="49">
        <f>SUM(N465:P465)</f>
        <v>0</v>
      </c>
      <c r="R465" s="72"/>
      <c r="S465" s="49">
        <f>M465-Q465</f>
        <v>0</v>
      </c>
      <c r="T465" s="49">
        <v>0</v>
      </c>
      <c r="U465" s="49">
        <f>T465+M465</f>
        <v>0</v>
      </c>
      <c r="V465" s="49">
        <f>T465+S465</f>
        <v>0</v>
      </c>
      <c r="W465" s="49"/>
      <c r="X465" s="49"/>
      <c r="Y465" s="49"/>
      <c r="Z465" s="49"/>
      <c r="AA465" s="49">
        <v>1010000</v>
      </c>
      <c r="AB465" s="49">
        <v>1010000</v>
      </c>
      <c r="AC465" s="49">
        <f t="shared" si="109"/>
        <v>0</v>
      </c>
      <c r="AD465" s="49">
        <f>AA465+T465+M465</f>
        <v>1010000</v>
      </c>
      <c r="AE465" s="49"/>
      <c r="AF465" s="49"/>
      <c r="AG465" s="49"/>
      <c r="AH465" s="49"/>
      <c r="AI465" s="49"/>
      <c r="AJ465" s="49">
        <v>1009640</v>
      </c>
      <c r="AK465" s="49">
        <f>Z465+Y465+X465+W465+N465+AG465+AJ465+AI465+AH465</f>
        <v>1009640</v>
      </c>
      <c r="AL465" s="49">
        <f>AK465/AD465*100</f>
        <v>99.964356435643566</v>
      </c>
      <c r="AM465" s="49"/>
      <c r="AN465" s="49"/>
      <c r="AO465" s="49"/>
      <c r="AP465" s="49"/>
      <c r="AQ465" s="49">
        <f>AK465+AM465+AN465+AO465+AP465</f>
        <v>1009640</v>
      </c>
      <c r="AR465" s="49">
        <f>AQ465/AB465*100</f>
        <v>99.964356435643566</v>
      </c>
      <c r="AS465" s="49">
        <f>AB465-AQ465</f>
        <v>360</v>
      </c>
      <c r="AT465" s="49">
        <v>3091500</v>
      </c>
      <c r="AU465" s="49">
        <f>AT465+U465</f>
        <v>3091500</v>
      </c>
      <c r="AV465" s="49">
        <f>AK465</f>
        <v>1009640</v>
      </c>
      <c r="AW465" s="72">
        <f>AV465/AU465*100</f>
        <v>32.65857997735727</v>
      </c>
      <c r="AX465" s="49">
        <f>AU465-AV465</f>
        <v>2081860</v>
      </c>
      <c r="AY465" s="49">
        <f>AS465/AB465*100</f>
        <v>3.5643564356435641E-2</v>
      </c>
      <c r="AZ465" s="73">
        <f t="shared" si="108"/>
        <v>1009640</v>
      </c>
    </row>
    <row r="466" spans="1:53" ht="20.100000000000001" hidden="1" customHeight="1">
      <c r="A466" s="68"/>
      <c r="B466" s="69"/>
      <c r="C466" s="240" t="s">
        <v>658</v>
      </c>
      <c r="D466" s="240"/>
      <c r="E466" s="241"/>
      <c r="F466" s="70"/>
      <c r="G466" s="71"/>
      <c r="H466" s="71"/>
      <c r="I466" s="240" t="s">
        <v>151</v>
      </c>
      <c r="J466" s="240"/>
      <c r="K466" s="241"/>
      <c r="L466" s="49"/>
      <c r="M466" s="49"/>
      <c r="N466" s="49"/>
      <c r="O466" s="49"/>
      <c r="P466" s="49"/>
      <c r="Q466" s="49"/>
      <c r="R466" s="72"/>
      <c r="S466" s="49"/>
      <c r="T466" s="49"/>
      <c r="U466" s="49"/>
      <c r="V466" s="49"/>
      <c r="W466" s="49"/>
      <c r="X466" s="49"/>
      <c r="Y466" s="49"/>
      <c r="Z466" s="49"/>
      <c r="AA466" s="49"/>
      <c r="AB466" s="49"/>
      <c r="AC466" s="49">
        <f t="shared" si="109"/>
        <v>0</v>
      </c>
      <c r="AD466" s="49"/>
      <c r="AE466" s="49"/>
      <c r="AF466" s="49"/>
      <c r="AG466" s="49"/>
      <c r="AH466" s="49"/>
      <c r="AI466" s="49"/>
      <c r="AJ466" s="49"/>
      <c r="AK466" s="49"/>
      <c r="AL466" s="49"/>
      <c r="AM466" s="49"/>
      <c r="AN466" s="49"/>
      <c r="AO466" s="49"/>
      <c r="AP466" s="49"/>
      <c r="AQ466" s="49"/>
      <c r="AR466" s="49"/>
      <c r="AS466" s="49"/>
      <c r="AT466" s="49"/>
      <c r="AU466" s="49"/>
      <c r="AV466" s="49"/>
      <c r="AW466" s="49"/>
      <c r="AX466" s="49"/>
      <c r="AY466" s="49"/>
      <c r="AZ466" s="73">
        <f t="shared" si="108"/>
        <v>0</v>
      </c>
    </row>
    <row r="467" spans="1:53" ht="20.100000000000001" hidden="1" customHeight="1">
      <c r="A467" s="68"/>
      <c r="B467" s="69"/>
      <c r="C467" s="240" t="s">
        <v>659</v>
      </c>
      <c r="D467" s="240"/>
      <c r="E467" s="241"/>
      <c r="F467" s="70"/>
      <c r="G467" s="71"/>
      <c r="H467" s="71"/>
      <c r="I467" s="71"/>
      <c r="J467" s="240" t="s">
        <v>155</v>
      </c>
      <c r="K467" s="241"/>
      <c r="L467" s="49">
        <v>910000</v>
      </c>
      <c r="M467" s="49">
        <v>0</v>
      </c>
      <c r="N467" s="49"/>
      <c r="O467" s="49"/>
      <c r="P467" s="49"/>
      <c r="Q467" s="49">
        <f>SUM(N467:P467)</f>
        <v>0</v>
      </c>
      <c r="R467" s="72"/>
      <c r="S467" s="49">
        <f>M467-Q467</f>
        <v>0</v>
      </c>
      <c r="T467" s="49">
        <v>0</v>
      </c>
      <c r="U467" s="49">
        <f>T467+M467</f>
        <v>0</v>
      </c>
      <c r="V467" s="49">
        <f>T467+S467</f>
        <v>0</v>
      </c>
      <c r="W467" s="49"/>
      <c r="X467" s="49"/>
      <c r="Y467" s="49"/>
      <c r="Z467" s="49"/>
      <c r="AA467" s="49">
        <v>455000</v>
      </c>
      <c r="AB467" s="49">
        <v>910000</v>
      </c>
      <c r="AC467" s="49">
        <f t="shared" si="109"/>
        <v>0</v>
      </c>
      <c r="AD467" s="49">
        <f>AA467+T467+M467</f>
        <v>455000</v>
      </c>
      <c r="AE467" s="49"/>
      <c r="AF467" s="49"/>
      <c r="AG467" s="49"/>
      <c r="AH467" s="49"/>
      <c r="AI467" s="49"/>
      <c r="AJ467" s="49">
        <v>455000</v>
      </c>
      <c r="AK467" s="49">
        <f>Z467+Y467+X467+W467+N467+AG467+AJ467+AI467+AH467</f>
        <v>455000</v>
      </c>
      <c r="AL467" s="49">
        <f>AK467/AD467*100</f>
        <v>100</v>
      </c>
      <c r="AM467" s="49"/>
      <c r="AN467" s="49"/>
      <c r="AO467" s="42">
        <v>455000</v>
      </c>
      <c r="AP467" s="49"/>
      <c r="AQ467" s="49">
        <f>AK467+AM467+AN467+AO467+AP467</f>
        <v>910000</v>
      </c>
      <c r="AR467" s="49">
        <f>AQ467/AB467*100</f>
        <v>100</v>
      </c>
      <c r="AS467" s="49">
        <f>AB467-AQ467</f>
        <v>0</v>
      </c>
      <c r="AT467" s="49">
        <v>3091500</v>
      </c>
      <c r="AU467" s="49">
        <f>AT467+U467</f>
        <v>3091500</v>
      </c>
      <c r="AV467" s="49">
        <f>AK467</f>
        <v>455000</v>
      </c>
      <c r="AW467" s="72">
        <f>AV467/AU467*100</f>
        <v>14.717774543102054</v>
      </c>
      <c r="AX467" s="49">
        <f>AU467-AV467</f>
        <v>2636500</v>
      </c>
      <c r="AY467" s="49">
        <f>AS467/AB467*100</f>
        <v>0</v>
      </c>
      <c r="AZ467" s="73">
        <f t="shared" si="108"/>
        <v>455000</v>
      </c>
    </row>
    <row r="468" spans="1:53" ht="20.100000000000001" hidden="1" customHeight="1">
      <c r="A468" s="68"/>
      <c r="B468" s="69"/>
      <c r="C468" s="240" t="s">
        <v>660</v>
      </c>
      <c r="D468" s="240"/>
      <c r="E468" s="241"/>
      <c r="F468" s="70"/>
      <c r="G468" s="71"/>
      <c r="H468" s="71"/>
      <c r="I468" s="240" t="s">
        <v>193</v>
      </c>
      <c r="J468" s="240"/>
      <c r="K468" s="241"/>
      <c r="L468" s="49"/>
      <c r="M468" s="49"/>
      <c r="N468" s="49"/>
      <c r="O468" s="49"/>
      <c r="P468" s="49"/>
      <c r="Q468" s="49"/>
      <c r="R468" s="72"/>
      <c r="S468" s="49"/>
      <c r="T468" s="49"/>
      <c r="U468" s="49"/>
      <c r="V468" s="49"/>
      <c r="W468" s="49"/>
      <c r="X468" s="49"/>
      <c r="Y468" s="49"/>
      <c r="Z468" s="49"/>
      <c r="AA468" s="49"/>
      <c r="AB468" s="49"/>
      <c r="AC468" s="49">
        <f t="shared" si="109"/>
        <v>0</v>
      </c>
      <c r="AD468" s="49"/>
      <c r="AE468" s="49"/>
      <c r="AF468" s="49"/>
      <c r="AG468" s="49"/>
      <c r="AH468" s="49"/>
      <c r="AI468" s="49"/>
      <c r="AJ468" s="49"/>
      <c r="AK468" s="49"/>
      <c r="AL468" s="49"/>
      <c r="AM468" s="49"/>
      <c r="AN468" s="49"/>
      <c r="AO468" s="49"/>
      <c r="AP468" s="49"/>
      <c r="AQ468" s="49"/>
      <c r="AR468" s="49"/>
      <c r="AS468" s="49"/>
      <c r="AT468" s="49"/>
      <c r="AU468" s="49"/>
      <c r="AV468" s="49"/>
      <c r="AW468" s="49"/>
      <c r="AX468" s="49"/>
      <c r="AY468" s="49"/>
      <c r="AZ468" s="73">
        <f t="shared" si="108"/>
        <v>0</v>
      </c>
    </row>
    <row r="469" spans="1:53" ht="20.100000000000001" hidden="1" customHeight="1">
      <c r="A469" s="68"/>
      <c r="B469" s="69"/>
      <c r="C469" s="240" t="s">
        <v>661</v>
      </c>
      <c r="D469" s="240"/>
      <c r="E469" s="241"/>
      <c r="F469" s="70"/>
      <c r="G469" s="71"/>
      <c r="H469" s="71"/>
      <c r="I469" s="71"/>
      <c r="J469" s="240" t="s">
        <v>312</v>
      </c>
      <c r="K469" s="241"/>
      <c r="L469" s="49">
        <v>5950000</v>
      </c>
      <c r="M469" s="49">
        <v>0</v>
      </c>
      <c r="N469" s="49"/>
      <c r="O469" s="49"/>
      <c r="P469" s="49"/>
      <c r="Q469" s="49">
        <f>SUM(N469:P469)</f>
        <v>0</v>
      </c>
      <c r="R469" s="72"/>
      <c r="S469" s="49">
        <f>M469-Q469</f>
        <v>0</v>
      </c>
      <c r="T469" s="49">
        <v>0</v>
      </c>
      <c r="U469" s="49">
        <f>T469+M469</f>
        <v>0</v>
      </c>
      <c r="V469" s="49">
        <f>T469+S469</f>
        <v>0</v>
      </c>
      <c r="W469" s="49"/>
      <c r="X469" s="49"/>
      <c r="Y469" s="49"/>
      <c r="Z469" s="49"/>
      <c r="AA469" s="49">
        <v>2730000</v>
      </c>
      <c r="AB469" s="49">
        <v>5950000</v>
      </c>
      <c r="AC469" s="49">
        <f t="shared" si="109"/>
        <v>0</v>
      </c>
      <c r="AD469" s="49">
        <f>AA469+T469+M469</f>
        <v>2730000</v>
      </c>
      <c r="AE469" s="49"/>
      <c r="AF469" s="49"/>
      <c r="AG469" s="49"/>
      <c r="AH469" s="49"/>
      <c r="AI469" s="49"/>
      <c r="AJ469" s="49">
        <v>2520000</v>
      </c>
      <c r="AK469" s="49">
        <f>Z469+Y469+X469+W469+N469+AG469+AJ469+AI469+AH469</f>
        <v>2520000</v>
      </c>
      <c r="AL469" s="49">
        <f>AK469/AD469*100</f>
        <v>92.307692307692307</v>
      </c>
      <c r="AM469" s="49"/>
      <c r="AN469" s="49"/>
      <c r="AO469" s="42">
        <v>3430000</v>
      </c>
      <c r="AP469" s="49"/>
      <c r="AQ469" s="49">
        <f>AK469+AM469+AN469+AO469+AP469</f>
        <v>5950000</v>
      </c>
      <c r="AR469" s="49">
        <f>AQ469/AB469*100</f>
        <v>100</v>
      </c>
      <c r="AS469" s="49">
        <f>AB469-AQ469</f>
        <v>0</v>
      </c>
      <c r="AT469" s="49">
        <v>3091500</v>
      </c>
      <c r="AU469" s="49">
        <f>AT469+U469</f>
        <v>3091500</v>
      </c>
      <c r="AV469" s="49">
        <f>AK469</f>
        <v>2520000</v>
      </c>
      <c r="AW469" s="72">
        <f>AV469/AU469*100</f>
        <v>81.513828238719071</v>
      </c>
      <c r="AX469" s="49">
        <f>AU469-AV469</f>
        <v>571500</v>
      </c>
      <c r="AY469" s="49">
        <f>AS469/AB469*100</f>
        <v>0</v>
      </c>
      <c r="AZ469" s="73">
        <f t="shared" si="108"/>
        <v>2520000</v>
      </c>
    </row>
    <row r="470" spans="1:53" ht="20.100000000000001" hidden="1" customHeight="1">
      <c r="A470" s="68"/>
      <c r="B470" s="69"/>
      <c r="C470" s="240" t="s">
        <v>662</v>
      </c>
      <c r="D470" s="240"/>
      <c r="E470" s="241"/>
      <c r="F470" s="70"/>
      <c r="G470" s="71"/>
      <c r="H470" s="71"/>
      <c r="I470" s="240" t="s">
        <v>157</v>
      </c>
      <c r="J470" s="240"/>
      <c r="K470" s="241"/>
      <c r="L470" s="49"/>
      <c r="M470" s="49"/>
      <c r="N470" s="49"/>
      <c r="O470" s="49"/>
      <c r="P470" s="49"/>
      <c r="Q470" s="49"/>
      <c r="R470" s="72"/>
      <c r="S470" s="49"/>
      <c r="T470" s="49"/>
      <c r="U470" s="49"/>
      <c r="V470" s="49"/>
      <c r="W470" s="49"/>
      <c r="X470" s="49"/>
      <c r="Y470" s="49"/>
      <c r="Z470" s="49"/>
      <c r="AA470" s="49"/>
      <c r="AB470" s="49"/>
      <c r="AC470" s="49">
        <f t="shared" si="109"/>
        <v>0</v>
      </c>
      <c r="AD470" s="49"/>
      <c r="AE470" s="49"/>
      <c r="AF470" s="49"/>
      <c r="AG470" s="49"/>
      <c r="AH470" s="49"/>
      <c r="AI470" s="49"/>
      <c r="AJ470" s="49"/>
      <c r="AK470" s="49"/>
      <c r="AL470" s="49"/>
      <c r="AM470" s="49"/>
      <c r="AN470" s="49"/>
      <c r="AO470" s="49"/>
      <c r="AP470" s="49"/>
      <c r="AQ470" s="49"/>
      <c r="AR470" s="49"/>
      <c r="AS470" s="49"/>
      <c r="AT470" s="49"/>
      <c r="AU470" s="49"/>
      <c r="AV470" s="49"/>
      <c r="AW470" s="49"/>
      <c r="AX470" s="49"/>
      <c r="AY470" s="49"/>
      <c r="AZ470" s="73">
        <f t="shared" si="108"/>
        <v>0</v>
      </c>
    </row>
    <row r="471" spans="1:53" ht="20.100000000000001" hidden="1" customHeight="1">
      <c r="A471" s="68"/>
      <c r="B471" s="69"/>
      <c r="C471" s="240" t="s">
        <v>663</v>
      </c>
      <c r="D471" s="240"/>
      <c r="E471" s="241"/>
      <c r="F471" s="70"/>
      <c r="G471" s="71"/>
      <c r="H471" s="71"/>
      <c r="I471" s="71"/>
      <c r="J471" s="240" t="s">
        <v>159</v>
      </c>
      <c r="K471" s="241"/>
      <c r="L471" s="49">
        <v>6050000</v>
      </c>
      <c r="M471" s="49">
        <v>0</v>
      </c>
      <c r="N471" s="49"/>
      <c r="O471" s="49"/>
      <c r="P471" s="49"/>
      <c r="Q471" s="49">
        <f>SUM(N471:P471)</f>
        <v>0</v>
      </c>
      <c r="R471" s="72"/>
      <c r="S471" s="49">
        <f>M471-Q471</f>
        <v>0</v>
      </c>
      <c r="T471" s="49">
        <v>0</v>
      </c>
      <c r="U471" s="49">
        <f>T471+M471</f>
        <v>0</v>
      </c>
      <c r="V471" s="49">
        <f>T471+S471</f>
        <v>0</v>
      </c>
      <c r="W471" s="49"/>
      <c r="X471" s="49"/>
      <c r="Y471" s="49"/>
      <c r="Z471" s="49"/>
      <c r="AA471" s="49">
        <v>4000000</v>
      </c>
      <c r="AB471" s="49">
        <v>6050000</v>
      </c>
      <c r="AC471" s="49">
        <f t="shared" si="109"/>
        <v>0</v>
      </c>
      <c r="AD471" s="49">
        <f>AA471+T471+M471</f>
        <v>4000000</v>
      </c>
      <c r="AE471" s="49"/>
      <c r="AF471" s="49"/>
      <c r="AG471" s="49"/>
      <c r="AH471" s="49"/>
      <c r="AI471" s="49"/>
      <c r="AJ471" s="49">
        <v>4000000</v>
      </c>
      <c r="AK471" s="49">
        <f>Z471+Y471+X471+W471+N471+AG471+AJ471+AI471+AH471</f>
        <v>4000000</v>
      </c>
      <c r="AL471" s="49">
        <f>AK471/AD471*100</f>
        <v>100</v>
      </c>
      <c r="AM471" s="49"/>
      <c r="AN471" s="49"/>
      <c r="AO471" s="42">
        <v>2040000</v>
      </c>
      <c r="AP471" s="49"/>
      <c r="AQ471" s="49">
        <f>AK471+AM471+AN471+AO471+AP471</f>
        <v>6040000</v>
      </c>
      <c r="AR471" s="49">
        <f>AQ471/AB471*100</f>
        <v>99.834710743801651</v>
      </c>
      <c r="AS471" s="49">
        <f>AB471-AQ471</f>
        <v>10000</v>
      </c>
      <c r="AT471" s="49">
        <v>3091500</v>
      </c>
      <c r="AU471" s="49">
        <f>AT471+U471</f>
        <v>3091500</v>
      </c>
      <c r="AV471" s="49">
        <f>AK471</f>
        <v>4000000</v>
      </c>
      <c r="AW471" s="72">
        <f>AV471/AU471*100</f>
        <v>129.38702895034771</v>
      </c>
      <c r="AX471" s="49">
        <f>AU471-AV471</f>
        <v>-908500</v>
      </c>
      <c r="AY471" s="49">
        <f>AS471/AB471*100</f>
        <v>0.16528925619834711</v>
      </c>
      <c r="AZ471" s="73">
        <f t="shared" si="108"/>
        <v>4000000</v>
      </c>
    </row>
    <row r="472" spans="1:53" ht="20.100000000000001" hidden="1" customHeight="1">
      <c r="A472" s="68"/>
      <c r="B472" s="69"/>
      <c r="C472" s="240" t="s">
        <v>664</v>
      </c>
      <c r="D472" s="240"/>
      <c r="E472" s="241"/>
      <c r="F472" s="70"/>
      <c r="G472" s="71"/>
      <c r="H472" s="71"/>
      <c r="I472" s="71"/>
      <c r="J472" s="240" t="s">
        <v>207</v>
      </c>
      <c r="K472" s="241"/>
      <c r="L472" s="49">
        <v>8080000</v>
      </c>
      <c r="M472" s="49">
        <v>0</v>
      </c>
      <c r="N472" s="49"/>
      <c r="O472" s="49"/>
      <c r="P472" s="49"/>
      <c r="Q472" s="49">
        <f>SUM(N472:P472)</f>
        <v>0</v>
      </c>
      <c r="R472" s="72"/>
      <c r="S472" s="49">
        <f>M472-Q472</f>
        <v>0</v>
      </c>
      <c r="T472" s="49">
        <v>0</v>
      </c>
      <c r="U472" s="49">
        <f>T472+M472</f>
        <v>0</v>
      </c>
      <c r="V472" s="49">
        <f>T472+S472</f>
        <v>0</v>
      </c>
      <c r="W472" s="49"/>
      <c r="X472" s="49"/>
      <c r="Y472" s="49"/>
      <c r="Z472" s="49"/>
      <c r="AA472" s="49">
        <v>6000000</v>
      </c>
      <c r="AB472" s="49">
        <v>8080000</v>
      </c>
      <c r="AC472" s="49">
        <f t="shared" si="109"/>
        <v>0</v>
      </c>
      <c r="AD472" s="49">
        <f>AA472+T472+M472</f>
        <v>6000000</v>
      </c>
      <c r="AE472" s="49"/>
      <c r="AF472" s="49"/>
      <c r="AG472" s="49"/>
      <c r="AH472" s="49"/>
      <c r="AI472" s="49"/>
      <c r="AJ472" s="49">
        <v>5400000</v>
      </c>
      <c r="AK472" s="49">
        <f>Z472+Y472+X472+W472+N472+AG472+AJ472+AI472+AH472</f>
        <v>5400000</v>
      </c>
      <c r="AL472" s="49">
        <f>AK472/AD472*100</f>
        <v>90</v>
      </c>
      <c r="AM472" s="49"/>
      <c r="AN472" s="49"/>
      <c r="AO472" s="42">
        <v>2540000</v>
      </c>
      <c r="AP472" s="49"/>
      <c r="AQ472" s="49">
        <f>AK472+AM472+AN472+AO472+AP472</f>
        <v>7940000</v>
      </c>
      <c r="AR472" s="49">
        <f>AQ472/AB472*100</f>
        <v>98.267326732673268</v>
      </c>
      <c r="AS472" s="49">
        <f>AB472-AQ472</f>
        <v>140000</v>
      </c>
      <c r="AT472" s="49">
        <v>3091500</v>
      </c>
      <c r="AU472" s="49">
        <f>AT472+U472</f>
        <v>3091500</v>
      </c>
      <c r="AV472" s="49">
        <f>AK472</f>
        <v>5400000</v>
      </c>
      <c r="AW472" s="72">
        <f>AV472/AU472*100</f>
        <v>174.67248908296943</v>
      </c>
      <c r="AX472" s="49">
        <f>AU472-AV472</f>
        <v>-2308500</v>
      </c>
      <c r="AY472" s="49">
        <f>AS472/AB472*100</f>
        <v>1.7326732673267329</v>
      </c>
      <c r="AZ472" s="73">
        <f t="shared" si="108"/>
        <v>5400000</v>
      </c>
    </row>
    <row r="473" spans="1:53" ht="20.100000000000001" customHeight="1">
      <c r="A473" s="62">
        <v>30</v>
      </c>
      <c r="B473" s="63"/>
      <c r="C473" s="242" t="s">
        <v>665</v>
      </c>
      <c r="D473" s="242"/>
      <c r="E473" s="243"/>
      <c r="F473" s="64"/>
      <c r="G473" s="244" t="s">
        <v>666</v>
      </c>
      <c r="H473" s="244"/>
      <c r="I473" s="244"/>
      <c r="J473" s="244"/>
      <c r="K473" s="245"/>
      <c r="L473" s="65">
        <f>SUM(L476:L486)</f>
        <v>14750000</v>
      </c>
      <c r="M473" s="65">
        <f>SUM(M476:M486)</f>
        <v>0</v>
      </c>
      <c r="N473" s="65">
        <f>SUM(N476:N486)</f>
        <v>0</v>
      </c>
      <c r="O473" s="65">
        <f>SUM(O476:O486)</f>
        <v>0</v>
      </c>
      <c r="P473" s="65">
        <f>SUM(P476:P486)</f>
        <v>0</v>
      </c>
      <c r="Q473" s="65">
        <f>SUM(N473:P473)</f>
        <v>0</v>
      </c>
      <c r="R473" s="66"/>
      <c r="S473" s="65">
        <f>M473-Q473</f>
        <v>0</v>
      </c>
      <c r="T473" s="65">
        <f>SUM(T476:T486)</f>
        <v>9125000</v>
      </c>
      <c r="U473" s="65">
        <f>T473+M473</f>
        <v>9125000</v>
      </c>
      <c r="V473" s="65">
        <f>T473+S473</f>
        <v>9125000</v>
      </c>
      <c r="W473" s="65">
        <f>SUM(W476:W486)</f>
        <v>0</v>
      </c>
      <c r="X473" s="65">
        <f>SUM(X476:X486)</f>
        <v>0</v>
      </c>
      <c r="Y473" s="65">
        <f>SUM(Y476:Y486)</f>
        <v>0</v>
      </c>
      <c r="Z473" s="65"/>
      <c r="AA473" s="65">
        <f>SUM(AA476:AA486)</f>
        <v>0</v>
      </c>
      <c r="AB473" s="65">
        <f>SUM(AB476:AB486)</f>
        <v>14750000</v>
      </c>
      <c r="AC473" s="65">
        <f t="shared" si="109"/>
        <v>0</v>
      </c>
      <c r="AD473" s="65">
        <f>AA473+T473+M473</f>
        <v>9125000</v>
      </c>
      <c r="AE473" s="65">
        <f t="shared" ref="AE473:AK473" si="113">SUM(AE476:AE486)</f>
        <v>4830000</v>
      </c>
      <c r="AF473" s="65">
        <f t="shared" si="113"/>
        <v>0</v>
      </c>
      <c r="AG473" s="65">
        <f t="shared" si="113"/>
        <v>4264900</v>
      </c>
      <c r="AH473" s="65">
        <f t="shared" si="113"/>
        <v>0</v>
      </c>
      <c r="AI473" s="65">
        <f t="shared" si="113"/>
        <v>0</v>
      </c>
      <c r="AJ473" s="65">
        <f t="shared" si="113"/>
        <v>0</v>
      </c>
      <c r="AK473" s="65">
        <f t="shared" si="113"/>
        <v>9094900</v>
      </c>
      <c r="AL473" s="65">
        <f>AK473/AB473*100</f>
        <v>61.660338983050842</v>
      </c>
      <c r="AM473" s="65">
        <f>SUM(AM476:AM486)</f>
        <v>0</v>
      </c>
      <c r="AN473" s="65">
        <f>SUM(AN476:AN486)</f>
        <v>0</v>
      </c>
      <c r="AO473" s="42">
        <f>SUM(AO476:AO486)</f>
        <v>5625000</v>
      </c>
      <c r="AP473" s="65">
        <f>SUM(AP476:AP486)</f>
        <v>0</v>
      </c>
      <c r="AQ473" s="65">
        <f>AK473+AM473+AN473+AO473+AP473</f>
        <v>14719900</v>
      </c>
      <c r="AR473" s="65">
        <f>AQ473/AB473*100</f>
        <v>99.795932203389825</v>
      </c>
      <c r="AS473" s="65">
        <f>AB473-AQ473</f>
        <v>30100</v>
      </c>
      <c r="AT473" s="65">
        <f>SUM(AT476:AT482)</f>
        <v>9274500</v>
      </c>
      <c r="AU473" s="65">
        <f>AT473+U473</f>
        <v>18399500</v>
      </c>
      <c r="AV473" s="65">
        <f>AK473</f>
        <v>9094900</v>
      </c>
      <c r="AW473" s="66">
        <f>AV473/AU473*100</f>
        <v>49.430147558357561</v>
      </c>
      <c r="AX473" s="65">
        <f>AU473-AV473</f>
        <v>9304600</v>
      </c>
      <c r="AY473" s="65">
        <f>AS473/AB473*100</f>
        <v>0.20406779661016949</v>
      </c>
      <c r="AZ473" s="67">
        <f t="shared" si="108"/>
        <v>9094900</v>
      </c>
      <c r="BA473" s="29">
        <f>AS473</f>
        <v>30100</v>
      </c>
    </row>
    <row r="474" spans="1:53" ht="20.100000000000001" hidden="1" customHeight="1">
      <c r="A474" s="68"/>
      <c r="B474" s="69"/>
      <c r="C474" s="240" t="s">
        <v>667</v>
      </c>
      <c r="D474" s="240"/>
      <c r="E474" s="241"/>
      <c r="F474" s="70"/>
      <c r="G474" s="71"/>
      <c r="H474" s="240" t="s">
        <v>10</v>
      </c>
      <c r="I474" s="240"/>
      <c r="J474" s="240"/>
      <c r="K474" s="241"/>
      <c r="L474" s="49"/>
      <c r="M474" s="49"/>
      <c r="N474" s="49"/>
      <c r="O474" s="49"/>
      <c r="P474" s="49"/>
      <c r="Q474" s="49"/>
      <c r="R474" s="72"/>
      <c r="S474" s="49"/>
      <c r="T474" s="49"/>
      <c r="U474" s="49"/>
      <c r="V474" s="49"/>
      <c r="W474" s="49"/>
      <c r="X474" s="49"/>
      <c r="Y474" s="49"/>
      <c r="Z474" s="49"/>
      <c r="AA474" s="49"/>
      <c r="AB474" s="49"/>
      <c r="AC474" s="49">
        <f t="shared" si="109"/>
        <v>0</v>
      </c>
      <c r="AD474" s="49"/>
      <c r="AE474" s="49"/>
      <c r="AF474" s="49"/>
      <c r="AG474" s="49"/>
      <c r="AH474" s="49"/>
      <c r="AI474" s="49"/>
      <c r="AJ474" s="49"/>
      <c r="AK474" s="49"/>
      <c r="AL474" s="49"/>
      <c r="AM474" s="49"/>
      <c r="AN474" s="49"/>
      <c r="AO474" s="49"/>
      <c r="AP474" s="49"/>
      <c r="AQ474" s="49"/>
      <c r="AR474" s="49"/>
      <c r="AS474" s="49"/>
      <c r="AT474" s="49"/>
      <c r="AU474" s="49"/>
      <c r="AV474" s="49"/>
      <c r="AW474" s="49"/>
      <c r="AX474" s="49"/>
      <c r="AY474" s="49"/>
      <c r="AZ474" s="73">
        <f t="shared" si="108"/>
        <v>0</v>
      </c>
    </row>
    <row r="475" spans="1:53" ht="20.100000000000001" hidden="1" customHeight="1">
      <c r="A475" s="68"/>
      <c r="B475" s="69"/>
      <c r="C475" s="240" t="s">
        <v>668</v>
      </c>
      <c r="D475" s="240"/>
      <c r="E475" s="241"/>
      <c r="F475" s="70"/>
      <c r="G475" s="71"/>
      <c r="H475" s="71"/>
      <c r="I475" s="240" t="s">
        <v>177</v>
      </c>
      <c r="J475" s="240"/>
      <c r="K475" s="241"/>
      <c r="L475" s="49"/>
      <c r="M475" s="49"/>
      <c r="N475" s="49"/>
      <c r="O475" s="49"/>
      <c r="P475" s="49"/>
      <c r="Q475" s="49"/>
      <c r="R475" s="72"/>
      <c r="S475" s="49"/>
      <c r="T475" s="49"/>
      <c r="U475" s="49"/>
      <c r="V475" s="49"/>
      <c r="W475" s="49"/>
      <c r="X475" s="49"/>
      <c r="Y475" s="49"/>
      <c r="Z475" s="49"/>
      <c r="AA475" s="49"/>
      <c r="AB475" s="49"/>
      <c r="AC475" s="49">
        <f t="shared" si="109"/>
        <v>0</v>
      </c>
      <c r="AD475" s="49"/>
      <c r="AE475" s="49"/>
      <c r="AF475" s="49"/>
      <c r="AG475" s="49"/>
      <c r="AH475" s="49"/>
      <c r="AI475" s="49"/>
      <c r="AJ475" s="49"/>
      <c r="AK475" s="49"/>
      <c r="AL475" s="49"/>
      <c r="AM475" s="49"/>
      <c r="AN475" s="49"/>
      <c r="AO475" s="49"/>
      <c r="AP475" s="49"/>
      <c r="AQ475" s="49"/>
      <c r="AR475" s="49"/>
      <c r="AS475" s="49"/>
      <c r="AT475" s="49"/>
      <c r="AU475" s="49"/>
      <c r="AV475" s="49"/>
      <c r="AW475" s="49"/>
      <c r="AX475" s="49"/>
      <c r="AY475" s="49"/>
      <c r="AZ475" s="73">
        <f t="shared" si="108"/>
        <v>0</v>
      </c>
    </row>
    <row r="476" spans="1:53" ht="20.100000000000001" hidden="1" customHeight="1">
      <c r="A476" s="68"/>
      <c r="B476" s="69"/>
      <c r="C476" s="240" t="s">
        <v>669</v>
      </c>
      <c r="D476" s="240"/>
      <c r="E476" s="241"/>
      <c r="F476" s="70"/>
      <c r="G476" s="71"/>
      <c r="H476" s="71"/>
      <c r="I476" s="71"/>
      <c r="J476" s="240" t="s">
        <v>283</v>
      </c>
      <c r="K476" s="241"/>
      <c r="L476" s="49">
        <v>5450000</v>
      </c>
      <c r="M476" s="49">
        <v>0</v>
      </c>
      <c r="N476" s="49"/>
      <c r="O476" s="49"/>
      <c r="P476" s="49"/>
      <c r="Q476" s="49">
        <f>SUM(N476:P476)</f>
        <v>0</v>
      </c>
      <c r="R476" s="72"/>
      <c r="S476" s="49">
        <f>M476-Q476</f>
        <v>0</v>
      </c>
      <c r="T476" s="49">
        <v>2725000</v>
      </c>
      <c r="U476" s="49">
        <f>T476+M476</f>
        <v>2725000</v>
      </c>
      <c r="V476" s="49">
        <f>T476+S476</f>
        <v>2725000</v>
      </c>
      <c r="W476" s="49"/>
      <c r="X476" s="49"/>
      <c r="Y476" s="49"/>
      <c r="Z476" s="49"/>
      <c r="AA476" s="49">
        <v>0</v>
      </c>
      <c r="AB476" s="49">
        <v>5450000</v>
      </c>
      <c r="AC476" s="49">
        <f t="shared" si="109"/>
        <v>0</v>
      </c>
      <c r="AD476" s="49">
        <f>AA476+T476+M476</f>
        <v>2725000</v>
      </c>
      <c r="AE476" s="49"/>
      <c r="AF476" s="49"/>
      <c r="AG476" s="49">
        <f>2725000</f>
        <v>2725000</v>
      </c>
      <c r="AH476" s="49"/>
      <c r="AI476" s="49"/>
      <c r="AJ476" s="49"/>
      <c r="AK476" s="49">
        <f>Z476+Y476+X476+W476+N476+AG476+AJ476+AI476+AH476</f>
        <v>2725000</v>
      </c>
      <c r="AL476" s="49">
        <f>AK476/AD476*100</f>
        <v>100</v>
      </c>
      <c r="AM476" s="49"/>
      <c r="AN476" s="49"/>
      <c r="AO476" s="42">
        <v>2725000</v>
      </c>
      <c r="AP476" s="49"/>
      <c r="AQ476" s="49">
        <f>AK476+AM476+AN476+AO476+AP476</f>
        <v>5450000</v>
      </c>
      <c r="AR476" s="49">
        <f>AQ476/AB476*100</f>
        <v>100</v>
      </c>
      <c r="AS476" s="49">
        <f>AB476-AQ476</f>
        <v>0</v>
      </c>
      <c r="AT476" s="49">
        <v>3091500</v>
      </c>
      <c r="AU476" s="49">
        <f>AT476+U476</f>
        <v>5816500</v>
      </c>
      <c r="AV476" s="49">
        <f>AK476</f>
        <v>2725000</v>
      </c>
      <c r="AW476" s="72">
        <f>AV476/AU476*100</f>
        <v>46.849479927791627</v>
      </c>
      <c r="AX476" s="49">
        <f>AU476-AV476</f>
        <v>3091500</v>
      </c>
      <c r="AY476" s="49">
        <f>AS476/AB476*100</f>
        <v>0</v>
      </c>
      <c r="AZ476" s="73">
        <f t="shared" si="108"/>
        <v>2725000</v>
      </c>
    </row>
    <row r="477" spans="1:53" ht="20.100000000000001" hidden="1" customHeight="1">
      <c r="A477" s="68"/>
      <c r="B477" s="69"/>
      <c r="C477" s="240" t="s">
        <v>670</v>
      </c>
      <c r="D477" s="240"/>
      <c r="E477" s="241"/>
      <c r="F477" s="70"/>
      <c r="G477" s="71"/>
      <c r="H477" s="240" t="s">
        <v>143</v>
      </c>
      <c r="I477" s="240"/>
      <c r="J477" s="240"/>
      <c r="K477" s="241"/>
      <c r="L477" s="49"/>
      <c r="M477" s="49"/>
      <c r="N477" s="49"/>
      <c r="O477" s="49"/>
      <c r="P477" s="49"/>
      <c r="Q477" s="49"/>
      <c r="R477" s="72"/>
      <c r="S477" s="49"/>
      <c r="T477" s="49"/>
      <c r="U477" s="49"/>
      <c r="V477" s="49"/>
      <c r="W477" s="49"/>
      <c r="X477" s="49"/>
      <c r="Y477" s="49"/>
      <c r="Z477" s="49"/>
      <c r="AA477" s="49"/>
      <c r="AB477" s="49"/>
      <c r="AC477" s="49">
        <f t="shared" si="109"/>
        <v>0</v>
      </c>
      <c r="AD477" s="49"/>
      <c r="AE477" s="49"/>
      <c r="AF477" s="49"/>
      <c r="AG477" s="49"/>
      <c r="AH477" s="49"/>
      <c r="AI477" s="49"/>
      <c r="AJ477" s="49"/>
      <c r="AK477" s="49"/>
      <c r="AL477" s="49"/>
      <c r="AM477" s="49"/>
      <c r="AN477" s="49"/>
      <c r="AO477" s="49"/>
      <c r="AP477" s="49"/>
      <c r="AQ477" s="49"/>
      <c r="AR477" s="49"/>
      <c r="AS477" s="49"/>
      <c r="AT477" s="49"/>
      <c r="AU477" s="49"/>
      <c r="AV477" s="49"/>
      <c r="AW477" s="49"/>
      <c r="AX477" s="49"/>
      <c r="AY477" s="49"/>
      <c r="AZ477" s="73">
        <f t="shared" si="108"/>
        <v>0</v>
      </c>
    </row>
    <row r="478" spans="1:53" ht="20.100000000000001" hidden="1" customHeight="1">
      <c r="A478" s="68"/>
      <c r="B478" s="69"/>
      <c r="C478" s="240" t="s">
        <v>671</v>
      </c>
      <c r="D478" s="240"/>
      <c r="E478" s="241"/>
      <c r="F478" s="70"/>
      <c r="G478" s="71"/>
      <c r="H478" s="71"/>
      <c r="I478" s="240" t="s">
        <v>145</v>
      </c>
      <c r="J478" s="240"/>
      <c r="K478" s="241"/>
      <c r="L478" s="49"/>
      <c r="M478" s="49"/>
      <c r="N478" s="49"/>
      <c r="O478" s="49"/>
      <c r="P478" s="49"/>
      <c r="Q478" s="49"/>
      <c r="R478" s="72"/>
      <c r="S478" s="49"/>
      <c r="T478" s="49"/>
      <c r="U478" s="49"/>
      <c r="V478" s="49"/>
      <c r="W478" s="49"/>
      <c r="X478" s="49"/>
      <c r="Y478" s="49"/>
      <c r="Z478" s="49"/>
      <c r="AA478" s="49"/>
      <c r="AB478" s="49"/>
      <c r="AC478" s="49">
        <f t="shared" si="109"/>
        <v>0</v>
      </c>
      <c r="AD478" s="49"/>
      <c r="AE478" s="49"/>
      <c r="AF478" s="49"/>
      <c r="AG478" s="49"/>
      <c r="AH478" s="49"/>
      <c r="AI478" s="49"/>
      <c r="AJ478" s="49"/>
      <c r="AK478" s="49"/>
      <c r="AL478" s="49"/>
      <c r="AM478" s="49"/>
      <c r="AN478" s="49"/>
      <c r="AO478" s="49"/>
      <c r="AP478" s="49"/>
      <c r="AQ478" s="49"/>
      <c r="AR478" s="49"/>
      <c r="AS478" s="49"/>
      <c r="AT478" s="49"/>
      <c r="AU478" s="49"/>
      <c r="AV478" s="49"/>
      <c r="AW478" s="49"/>
      <c r="AX478" s="49"/>
      <c r="AY478" s="49"/>
      <c r="AZ478" s="73">
        <f t="shared" si="108"/>
        <v>0</v>
      </c>
    </row>
    <row r="479" spans="1:53" ht="20.100000000000001" hidden="1" customHeight="1">
      <c r="A479" s="68"/>
      <c r="B479" s="69"/>
      <c r="C479" s="240" t="s">
        <v>672</v>
      </c>
      <c r="D479" s="240"/>
      <c r="E479" s="241"/>
      <c r="F479" s="70"/>
      <c r="G479" s="71"/>
      <c r="H479" s="71"/>
      <c r="I479" s="71"/>
      <c r="J479" s="240" t="s">
        <v>147</v>
      </c>
      <c r="K479" s="241"/>
      <c r="L479" s="49">
        <v>490000</v>
      </c>
      <c r="M479" s="49">
        <v>0</v>
      </c>
      <c r="N479" s="49"/>
      <c r="O479" s="49"/>
      <c r="P479" s="49"/>
      <c r="Q479" s="49">
        <f>SUM(N479:P479)</f>
        <v>0</v>
      </c>
      <c r="R479" s="72"/>
      <c r="S479" s="49">
        <f>M479-Q479</f>
        <v>0</v>
      </c>
      <c r="T479" s="49">
        <v>490000</v>
      </c>
      <c r="U479" s="49">
        <f>T479+M479</f>
        <v>490000</v>
      </c>
      <c r="V479" s="49">
        <f>T479+S479</f>
        <v>490000</v>
      </c>
      <c r="W479" s="49"/>
      <c r="X479" s="49"/>
      <c r="Y479" s="49"/>
      <c r="Z479" s="49"/>
      <c r="AA479" s="49">
        <v>0</v>
      </c>
      <c r="AB479" s="49">
        <v>490000</v>
      </c>
      <c r="AC479" s="49">
        <f t="shared" si="109"/>
        <v>0</v>
      </c>
      <c r="AD479" s="49">
        <f>AA479+T479+M479</f>
        <v>490000</v>
      </c>
      <c r="AE479" s="49"/>
      <c r="AF479" s="49"/>
      <c r="AG479" s="49">
        <v>489900</v>
      </c>
      <c r="AH479" s="49"/>
      <c r="AI479" s="49"/>
      <c r="AJ479" s="49"/>
      <c r="AK479" s="49">
        <f>Z479+Y479+X479+W479+N479+AG479+AJ479+AI479+AH479</f>
        <v>489900</v>
      </c>
      <c r="AL479" s="49">
        <f>AK479/AD479*100</f>
        <v>99.979591836734699</v>
      </c>
      <c r="AM479" s="49"/>
      <c r="AN479" s="49"/>
      <c r="AO479" s="49"/>
      <c r="AP479" s="49"/>
      <c r="AQ479" s="49">
        <f>AK479+AM479+AN479+AO479+AP479</f>
        <v>489900</v>
      </c>
      <c r="AR479" s="49">
        <f>AQ479/AB479*100</f>
        <v>99.979591836734699</v>
      </c>
      <c r="AS479" s="49">
        <f>AB479-AQ479</f>
        <v>100</v>
      </c>
      <c r="AT479" s="49">
        <v>3091500</v>
      </c>
      <c r="AU479" s="49">
        <f>AT479+U479</f>
        <v>3581500</v>
      </c>
      <c r="AV479" s="49">
        <f>AK479</f>
        <v>489900</v>
      </c>
      <c r="AW479" s="72">
        <f>AV479/AU479*100</f>
        <v>13.678626273907579</v>
      </c>
      <c r="AX479" s="49">
        <f>AU479-AV479</f>
        <v>3091600</v>
      </c>
      <c r="AY479" s="49">
        <f>AS479/AB479*100</f>
        <v>2.0408163265306124E-2</v>
      </c>
      <c r="AZ479" s="73">
        <f t="shared" si="108"/>
        <v>489900</v>
      </c>
    </row>
    <row r="480" spans="1:53" ht="20.100000000000001" hidden="1" customHeight="1">
      <c r="A480" s="68"/>
      <c r="B480" s="69"/>
      <c r="C480" s="240" t="s">
        <v>673</v>
      </c>
      <c r="D480" s="240"/>
      <c r="E480" s="241"/>
      <c r="F480" s="70"/>
      <c r="G480" s="71"/>
      <c r="H480" s="71"/>
      <c r="I480" s="240" t="s">
        <v>151</v>
      </c>
      <c r="J480" s="240"/>
      <c r="K480" s="241"/>
      <c r="L480" s="49"/>
      <c r="M480" s="49"/>
      <c r="N480" s="49"/>
      <c r="O480" s="49"/>
      <c r="P480" s="49"/>
      <c r="Q480" s="49"/>
      <c r="R480" s="72"/>
      <c r="S480" s="49"/>
      <c r="T480" s="49"/>
      <c r="U480" s="49"/>
      <c r="V480" s="49"/>
      <c r="W480" s="49"/>
      <c r="X480" s="49"/>
      <c r="Y480" s="49"/>
      <c r="Z480" s="49"/>
      <c r="AA480" s="49"/>
      <c r="AB480" s="49"/>
      <c r="AC480" s="49">
        <f t="shared" si="109"/>
        <v>0</v>
      </c>
      <c r="AD480" s="49"/>
      <c r="AE480" s="49"/>
      <c r="AF480" s="49"/>
      <c r="AG480" s="49"/>
      <c r="AH480" s="49"/>
      <c r="AI480" s="49"/>
      <c r="AJ480" s="49"/>
      <c r="AK480" s="49"/>
      <c r="AL480" s="49"/>
      <c r="AM480" s="49"/>
      <c r="AN480" s="49"/>
      <c r="AO480" s="49"/>
      <c r="AP480" s="49"/>
      <c r="AQ480" s="49"/>
      <c r="AR480" s="49"/>
      <c r="AS480" s="49"/>
      <c r="AT480" s="49"/>
      <c r="AU480" s="49"/>
      <c r="AV480" s="49"/>
      <c r="AW480" s="49"/>
      <c r="AX480" s="49"/>
      <c r="AY480" s="49"/>
      <c r="AZ480" s="73">
        <f t="shared" si="108"/>
        <v>0</v>
      </c>
    </row>
    <row r="481" spans="1:53" ht="20.100000000000001" hidden="1" customHeight="1">
      <c r="A481" s="68"/>
      <c r="B481" s="69"/>
      <c r="C481" s="240" t="s">
        <v>674</v>
      </c>
      <c r="D481" s="240"/>
      <c r="E481" s="241"/>
      <c r="F481" s="70"/>
      <c r="G481" s="71"/>
      <c r="H481" s="71"/>
      <c r="I481" s="71"/>
      <c r="J481" s="240" t="s">
        <v>155</v>
      </c>
      <c r="K481" s="241"/>
      <c r="L481" s="49">
        <v>700000</v>
      </c>
      <c r="M481" s="49">
        <v>0</v>
      </c>
      <c r="N481" s="49"/>
      <c r="O481" s="49"/>
      <c r="P481" s="49"/>
      <c r="Q481" s="49">
        <f>SUM(N481:P481)</f>
        <v>0</v>
      </c>
      <c r="R481" s="72"/>
      <c r="S481" s="49">
        <f>M481-Q481</f>
        <v>0</v>
      </c>
      <c r="T481" s="49">
        <v>350000</v>
      </c>
      <c r="U481" s="49">
        <f>T481+M481</f>
        <v>350000</v>
      </c>
      <c r="V481" s="49">
        <f>T481+S481</f>
        <v>350000</v>
      </c>
      <c r="W481" s="49"/>
      <c r="X481" s="49"/>
      <c r="Y481" s="49"/>
      <c r="Z481" s="49"/>
      <c r="AA481" s="49">
        <v>0</v>
      </c>
      <c r="AB481" s="49">
        <v>700000</v>
      </c>
      <c r="AC481" s="49">
        <f t="shared" si="109"/>
        <v>0</v>
      </c>
      <c r="AD481" s="49">
        <f>AA481+T481+M481</f>
        <v>350000</v>
      </c>
      <c r="AE481" s="49"/>
      <c r="AF481" s="49"/>
      <c r="AG481" s="49">
        <v>350000</v>
      </c>
      <c r="AH481" s="49"/>
      <c r="AI481" s="49"/>
      <c r="AJ481" s="49"/>
      <c r="AK481" s="49">
        <f>Z481+Y481+X481+W481+N481+AG481+AJ481+AI481+AH481</f>
        <v>350000</v>
      </c>
      <c r="AL481" s="49">
        <f>AK481/AD481*100</f>
        <v>100</v>
      </c>
      <c r="AM481" s="49"/>
      <c r="AN481" s="49"/>
      <c r="AO481" s="42">
        <v>350000</v>
      </c>
      <c r="AP481" s="49"/>
      <c r="AQ481" s="49">
        <f>AK481+AM481+AN481+AO481+AP481</f>
        <v>700000</v>
      </c>
      <c r="AR481" s="49">
        <f>AQ481/AB481*100</f>
        <v>100</v>
      </c>
      <c r="AS481" s="49">
        <f>AB481-AQ481</f>
        <v>0</v>
      </c>
      <c r="AT481" s="49">
        <v>3091500</v>
      </c>
      <c r="AU481" s="49">
        <f>AT481+U481</f>
        <v>3441500</v>
      </c>
      <c r="AV481" s="49">
        <f>AK481</f>
        <v>350000</v>
      </c>
      <c r="AW481" s="72">
        <f>AV481/AU481*100</f>
        <v>10.169984018596542</v>
      </c>
      <c r="AX481" s="49">
        <f>AU481-AV481</f>
        <v>3091500</v>
      </c>
      <c r="AY481" s="49">
        <f>AS481/AB481*100</f>
        <v>0</v>
      </c>
      <c r="AZ481" s="73">
        <f t="shared" si="108"/>
        <v>350000</v>
      </c>
    </row>
    <row r="482" spans="1:53" ht="20.100000000000001" hidden="1" customHeight="1">
      <c r="A482" s="68"/>
      <c r="B482" s="69"/>
      <c r="C482" s="240" t="s">
        <v>675</v>
      </c>
      <c r="D482" s="240"/>
      <c r="E482" s="241"/>
      <c r="F482" s="70"/>
      <c r="G482" s="71"/>
      <c r="H482" s="71"/>
      <c r="I482" s="240" t="s">
        <v>193</v>
      </c>
      <c r="J482" s="240"/>
      <c r="K482" s="241"/>
      <c r="L482" s="49"/>
      <c r="M482" s="49"/>
      <c r="N482" s="49"/>
      <c r="O482" s="49"/>
      <c r="P482" s="49"/>
      <c r="Q482" s="49"/>
      <c r="R482" s="72"/>
      <c r="S482" s="49"/>
      <c r="T482" s="49"/>
      <c r="U482" s="49"/>
      <c r="V482" s="49"/>
      <c r="W482" s="49"/>
      <c r="X482" s="49"/>
      <c r="Y482" s="49"/>
      <c r="Z482" s="49"/>
      <c r="AA482" s="49"/>
      <c r="AB482" s="49"/>
      <c r="AC482" s="49">
        <f t="shared" si="109"/>
        <v>0</v>
      </c>
      <c r="AD482" s="49"/>
      <c r="AE482" s="49"/>
      <c r="AF482" s="49"/>
      <c r="AG482" s="49"/>
      <c r="AH482" s="49"/>
      <c r="AI482" s="49"/>
      <c r="AJ482" s="49"/>
      <c r="AK482" s="49"/>
      <c r="AL482" s="49"/>
      <c r="AM482" s="49"/>
      <c r="AN482" s="49"/>
      <c r="AO482" s="49"/>
      <c r="AP482" s="49"/>
      <c r="AQ482" s="49"/>
      <c r="AR482" s="49"/>
      <c r="AS482" s="49"/>
      <c r="AT482" s="49"/>
      <c r="AU482" s="49"/>
      <c r="AV482" s="49"/>
      <c r="AW482" s="49"/>
      <c r="AX482" s="49"/>
      <c r="AY482" s="49"/>
      <c r="AZ482" s="73">
        <f t="shared" si="108"/>
        <v>0</v>
      </c>
    </row>
    <row r="483" spans="1:53" ht="20.100000000000001" hidden="1" customHeight="1">
      <c r="A483" s="68"/>
      <c r="B483" s="69"/>
      <c r="C483" s="240" t="s">
        <v>676</v>
      </c>
      <c r="D483" s="240"/>
      <c r="E483" s="241"/>
      <c r="F483" s="70"/>
      <c r="G483" s="71"/>
      <c r="H483" s="71"/>
      <c r="I483" s="71"/>
      <c r="J483" s="240" t="s">
        <v>195</v>
      </c>
      <c r="K483" s="241"/>
      <c r="L483" s="49">
        <v>1050000</v>
      </c>
      <c r="M483" s="49">
        <v>0</v>
      </c>
      <c r="N483" s="49"/>
      <c r="O483" s="49"/>
      <c r="P483" s="49"/>
      <c r="Q483" s="49">
        <f>SUM(N483:P483)</f>
        <v>0</v>
      </c>
      <c r="R483" s="72"/>
      <c r="S483" s="49">
        <f>M483-Q483</f>
        <v>0</v>
      </c>
      <c r="T483" s="49">
        <v>700000</v>
      </c>
      <c r="U483" s="49">
        <f>T483+M483</f>
        <v>700000</v>
      </c>
      <c r="V483" s="49">
        <f>T483+S483</f>
        <v>700000</v>
      </c>
      <c r="W483" s="49"/>
      <c r="X483" s="49"/>
      <c r="Y483" s="49"/>
      <c r="Z483" s="49"/>
      <c r="AA483" s="49">
        <v>0</v>
      </c>
      <c r="AB483" s="49">
        <v>1050000</v>
      </c>
      <c r="AC483" s="49">
        <f t="shared" si="109"/>
        <v>0</v>
      </c>
      <c r="AD483" s="49">
        <f>AA483+T483+M483</f>
        <v>700000</v>
      </c>
      <c r="AE483" s="49"/>
      <c r="AF483" s="49"/>
      <c r="AG483" s="49">
        <v>700000</v>
      </c>
      <c r="AH483" s="49"/>
      <c r="AI483" s="49"/>
      <c r="AJ483" s="49"/>
      <c r="AK483" s="49">
        <f>Z483+Y483+X483+W483+N483+AG483+AJ483+AI483+AH483</f>
        <v>700000</v>
      </c>
      <c r="AL483" s="49">
        <f>AK483/AD483*100</f>
        <v>100</v>
      </c>
      <c r="AM483" s="49"/>
      <c r="AN483" s="49"/>
      <c r="AO483" s="42">
        <v>350000</v>
      </c>
      <c r="AP483" s="49"/>
      <c r="AQ483" s="49">
        <f>AK483+AM483+AN483+AO483+AP483</f>
        <v>1050000</v>
      </c>
      <c r="AR483" s="49">
        <f>AQ483/AB483*100</f>
        <v>100</v>
      </c>
      <c r="AS483" s="49">
        <f t="shared" ref="AS483:AS545" si="114">AB483-AQ483</f>
        <v>0</v>
      </c>
      <c r="AT483" s="49">
        <v>3091500</v>
      </c>
      <c r="AU483" s="49">
        <f>AT483+U483</f>
        <v>3791500</v>
      </c>
      <c r="AV483" s="49">
        <f>AK483</f>
        <v>700000</v>
      </c>
      <c r="AW483" s="72">
        <f>AV483/AU483*100</f>
        <v>18.462349993406306</v>
      </c>
      <c r="AX483" s="49">
        <f>AU483-AV483</f>
        <v>3091500</v>
      </c>
      <c r="AY483" s="49">
        <f t="shared" ref="AY483:AY544" si="115">AS483/AB483*100</f>
        <v>0</v>
      </c>
      <c r="AZ483" s="73">
        <f t="shared" si="108"/>
        <v>700000</v>
      </c>
    </row>
    <row r="484" spans="1:53" ht="20.100000000000001" hidden="1" customHeight="1">
      <c r="A484" s="68"/>
      <c r="B484" s="69"/>
      <c r="C484" s="240" t="s">
        <v>677</v>
      </c>
      <c r="D484" s="240"/>
      <c r="E484" s="241"/>
      <c r="F484" s="70"/>
      <c r="G484" s="71"/>
      <c r="H484" s="71"/>
      <c r="I484" s="240" t="s">
        <v>157</v>
      </c>
      <c r="J484" s="240"/>
      <c r="K484" s="241"/>
      <c r="L484" s="49"/>
      <c r="M484" s="49"/>
      <c r="N484" s="49"/>
      <c r="O484" s="49"/>
      <c r="P484" s="49"/>
      <c r="Q484" s="49"/>
      <c r="R484" s="72"/>
      <c r="S484" s="49"/>
      <c r="T484" s="49"/>
      <c r="U484" s="49"/>
      <c r="V484" s="49"/>
      <c r="W484" s="49"/>
      <c r="X484" s="49"/>
      <c r="Y484" s="49"/>
      <c r="Z484" s="49"/>
      <c r="AA484" s="49"/>
      <c r="AB484" s="49"/>
      <c r="AC484" s="49">
        <f t="shared" si="109"/>
        <v>0</v>
      </c>
      <c r="AD484" s="49"/>
      <c r="AE484" s="49"/>
      <c r="AF484" s="49"/>
      <c r="AG484" s="49"/>
      <c r="AH484" s="49"/>
      <c r="AI484" s="49"/>
      <c r="AJ484" s="49"/>
      <c r="AK484" s="49"/>
      <c r="AL484" s="49"/>
      <c r="AM484" s="49"/>
      <c r="AN484" s="49"/>
      <c r="AO484" s="49"/>
      <c r="AP484" s="49"/>
      <c r="AQ484" s="49"/>
      <c r="AR484" s="49"/>
      <c r="AS484" s="49"/>
      <c r="AT484" s="49"/>
      <c r="AU484" s="49"/>
      <c r="AV484" s="49"/>
      <c r="AW484" s="49"/>
      <c r="AX484" s="49"/>
      <c r="AY484" s="49"/>
      <c r="AZ484" s="73">
        <f t="shared" ref="AZ484:AZ547" si="116">AQ484-AO484</f>
        <v>0</v>
      </c>
    </row>
    <row r="485" spans="1:53" ht="20.100000000000001" hidden="1" customHeight="1">
      <c r="A485" s="68"/>
      <c r="B485" s="69"/>
      <c r="C485" s="240" t="s">
        <v>678</v>
      </c>
      <c r="D485" s="240"/>
      <c r="E485" s="241"/>
      <c r="F485" s="70"/>
      <c r="G485" s="71"/>
      <c r="H485" s="71"/>
      <c r="I485" s="71"/>
      <c r="J485" s="240" t="s">
        <v>159</v>
      </c>
      <c r="K485" s="241"/>
      <c r="L485" s="49">
        <v>4400000</v>
      </c>
      <c r="M485" s="49">
        <v>0</v>
      </c>
      <c r="N485" s="49"/>
      <c r="O485" s="49"/>
      <c r="P485" s="49"/>
      <c r="Q485" s="49">
        <f>SUM(N485:P485)</f>
        <v>0</v>
      </c>
      <c r="R485" s="72"/>
      <c r="S485" s="49">
        <f>M485-Q485</f>
        <v>0</v>
      </c>
      <c r="T485" s="49">
        <v>2200000</v>
      </c>
      <c r="U485" s="49">
        <f>T485+M485</f>
        <v>2200000</v>
      </c>
      <c r="V485" s="49">
        <f>T485+S485</f>
        <v>2200000</v>
      </c>
      <c r="W485" s="49"/>
      <c r="X485" s="49"/>
      <c r="Y485" s="49"/>
      <c r="Z485" s="49"/>
      <c r="AA485" s="49">
        <v>0</v>
      </c>
      <c r="AB485" s="49">
        <v>4400000</v>
      </c>
      <c r="AC485" s="49">
        <f t="shared" si="109"/>
        <v>0</v>
      </c>
      <c r="AD485" s="49">
        <f>AA485+T485+M485</f>
        <v>2200000</v>
      </c>
      <c r="AE485" s="49">
        <v>2200000</v>
      </c>
      <c r="AF485" s="49">
        <v>0</v>
      </c>
      <c r="AG485" s="49">
        <v>0</v>
      </c>
      <c r="AH485" s="49"/>
      <c r="AI485" s="49"/>
      <c r="AJ485" s="49"/>
      <c r="AK485" s="49">
        <f>Z485+Y485+X485+W485+N485+AG485+AE485+AJ485+AI485+AH485</f>
        <v>2200000</v>
      </c>
      <c r="AL485" s="49">
        <f>AK485/AD485*100</f>
        <v>100</v>
      </c>
      <c r="AM485" s="49"/>
      <c r="AN485" s="49"/>
      <c r="AO485" s="42">
        <v>2200000</v>
      </c>
      <c r="AP485" s="49"/>
      <c r="AQ485" s="49">
        <f>AK485+AM485+AN485+AO485+AP485</f>
        <v>4400000</v>
      </c>
      <c r="AR485" s="49">
        <f>AQ485/AB485*100</f>
        <v>100</v>
      </c>
      <c r="AS485" s="49">
        <f t="shared" si="114"/>
        <v>0</v>
      </c>
      <c r="AT485" s="49">
        <v>3091500</v>
      </c>
      <c r="AU485" s="49">
        <f>AT485+U485</f>
        <v>5291500</v>
      </c>
      <c r="AV485" s="49">
        <f>AK485</f>
        <v>2200000</v>
      </c>
      <c r="AW485" s="72">
        <f>AV485/AU485*100</f>
        <v>41.576112633468767</v>
      </c>
      <c r="AX485" s="49">
        <f>AU485-AV485</f>
        <v>3091500</v>
      </c>
      <c r="AY485" s="49">
        <f t="shared" si="115"/>
        <v>0</v>
      </c>
      <c r="AZ485" s="73">
        <f t="shared" si="116"/>
        <v>2200000</v>
      </c>
    </row>
    <row r="486" spans="1:53" ht="20.100000000000001" hidden="1" customHeight="1">
      <c r="A486" s="68"/>
      <c r="B486" s="69"/>
      <c r="C486" s="240" t="s">
        <v>679</v>
      </c>
      <c r="D486" s="240"/>
      <c r="E486" s="241"/>
      <c r="F486" s="70"/>
      <c r="G486" s="71"/>
      <c r="H486" s="71"/>
      <c r="I486" s="71"/>
      <c r="J486" s="240" t="s">
        <v>207</v>
      </c>
      <c r="K486" s="241"/>
      <c r="L486" s="49">
        <v>2660000</v>
      </c>
      <c r="M486" s="49">
        <v>0</v>
      </c>
      <c r="N486" s="49"/>
      <c r="O486" s="49"/>
      <c r="P486" s="49"/>
      <c r="Q486" s="49">
        <f>SUM(N486:P486)</f>
        <v>0</v>
      </c>
      <c r="R486" s="72"/>
      <c r="S486" s="49">
        <f>M486-Q486</f>
        <v>0</v>
      </c>
      <c r="T486" s="49">
        <v>2660000</v>
      </c>
      <c r="U486" s="49">
        <f>T486+M486</f>
        <v>2660000</v>
      </c>
      <c r="V486" s="49">
        <f>T486+S486</f>
        <v>2660000</v>
      </c>
      <c r="W486" s="49"/>
      <c r="X486" s="49"/>
      <c r="Y486" s="49"/>
      <c r="Z486" s="49"/>
      <c r="AA486" s="49">
        <v>0</v>
      </c>
      <c r="AB486" s="49">
        <v>2660000</v>
      </c>
      <c r="AC486" s="49">
        <f t="shared" si="109"/>
        <v>0</v>
      </c>
      <c r="AD486" s="49">
        <f>AA486+T486+M486</f>
        <v>2660000</v>
      </c>
      <c r="AE486" s="49">
        <v>2630000</v>
      </c>
      <c r="AF486" s="49">
        <v>0</v>
      </c>
      <c r="AG486" s="49">
        <v>0</v>
      </c>
      <c r="AH486" s="49"/>
      <c r="AI486" s="49"/>
      <c r="AJ486" s="49"/>
      <c r="AK486" s="49">
        <f>Z486+Y486+X486+W486+N486+AG486+AE486+AJ486+AI486+AH486</f>
        <v>2630000</v>
      </c>
      <c r="AL486" s="49">
        <f>AK486/AD486*100</f>
        <v>98.872180451127818</v>
      </c>
      <c r="AM486" s="49"/>
      <c r="AN486" s="49"/>
      <c r="AO486" s="49"/>
      <c r="AP486" s="49"/>
      <c r="AQ486" s="49">
        <f>AK486+AM486+AN486+AO486+AP486</f>
        <v>2630000</v>
      </c>
      <c r="AR486" s="49">
        <f>AQ486/AB486*100</f>
        <v>98.872180451127818</v>
      </c>
      <c r="AS486" s="49">
        <f t="shared" si="114"/>
        <v>30000</v>
      </c>
      <c r="AT486" s="49">
        <v>3091500</v>
      </c>
      <c r="AU486" s="49">
        <f>AT486+U486</f>
        <v>5751500</v>
      </c>
      <c r="AV486" s="49">
        <f>AK486</f>
        <v>2630000</v>
      </c>
      <c r="AW486" s="72">
        <f>AV486/AU486*100</f>
        <v>45.72720159958272</v>
      </c>
      <c r="AX486" s="49">
        <f>AU486-AV486</f>
        <v>3121500</v>
      </c>
      <c r="AY486" s="49">
        <f t="shared" si="115"/>
        <v>1.1278195488721803</v>
      </c>
      <c r="AZ486" s="73">
        <f t="shared" si="116"/>
        <v>2630000</v>
      </c>
    </row>
    <row r="487" spans="1:53" ht="20.100000000000001" customHeight="1">
      <c r="A487" s="62">
        <v>31</v>
      </c>
      <c r="B487" s="63"/>
      <c r="C487" s="242" t="s">
        <v>680</v>
      </c>
      <c r="D487" s="242"/>
      <c r="E487" s="243"/>
      <c r="F487" s="64"/>
      <c r="G487" s="244" t="s">
        <v>681</v>
      </c>
      <c r="H487" s="244"/>
      <c r="I487" s="244"/>
      <c r="J487" s="244"/>
      <c r="K487" s="245"/>
      <c r="L487" s="65">
        <f>SUM(L490:L503)</f>
        <v>30090000</v>
      </c>
      <c r="M487" s="65">
        <f>SUM(M490:M503)</f>
        <v>0</v>
      </c>
      <c r="N487" s="65">
        <f>SUM(N490:N503)</f>
        <v>0</v>
      </c>
      <c r="O487" s="65">
        <f>SUM(O490:O503)</f>
        <v>0</v>
      </c>
      <c r="P487" s="65">
        <f>SUM(P490:P503)</f>
        <v>0</v>
      </c>
      <c r="Q487" s="65">
        <f>SUM(N487:P487)</f>
        <v>0</v>
      </c>
      <c r="R487" s="66"/>
      <c r="S487" s="65">
        <f>M487-Q487</f>
        <v>0</v>
      </c>
      <c r="T487" s="65">
        <f>SUM(T490:T503)</f>
        <v>0</v>
      </c>
      <c r="U487" s="65">
        <f>T487+M487</f>
        <v>0</v>
      </c>
      <c r="V487" s="65">
        <f>T487+S487</f>
        <v>0</v>
      </c>
      <c r="W487" s="65">
        <f>SUM(W490:W503)</f>
        <v>0</v>
      </c>
      <c r="X487" s="65">
        <f>SUM(X490:X503)</f>
        <v>0</v>
      </c>
      <c r="Y487" s="65">
        <f>SUM(Y490:Y503)</f>
        <v>0</v>
      </c>
      <c r="Z487" s="65"/>
      <c r="AA487" s="65">
        <f>SUM(AA490:AA503)</f>
        <v>30090000</v>
      </c>
      <c r="AB487" s="65">
        <f>SUM(AB490:AB503)</f>
        <v>30090000</v>
      </c>
      <c r="AC487" s="65">
        <f t="shared" si="109"/>
        <v>0</v>
      </c>
      <c r="AD487" s="65">
        <f>AA487+T487+M487</f>
        <v>30090000</v>
      </c>
      <c r="AE487" s="65">
        <f t="shared" ref="AE487:AK487" si="117">SUM(AE490:AE503)</f>
        <v>0</v>
      </c>
      <c r="AF487" s="65">
        <f t="shared" si="117"/>
        <v>0</v>
      </c>
      <c r="AG487" s="65">
        <f t="shared" si="117"/>
        <v>30079750</v>
      </c>
      <c r="AH487" s="65">
        <f t="shared" si="117"/>
        <v>0</v>
      </c>
      <c r="AI487" s="65">
        <f t="shared" si="117"/>
        <v>0</v>
      </c>
      <c r="AJ487" s="65">
        <f t="shared" si="117"/>
        <v>0</v>
      </c>
      <c r="AK487" s="65">
        <f t="shared" si="117"/>
        <v>30079750</v>
      </c>
      <c r="AL487" s="65">
        <f>AK487/AB487*100</f>
        <v>99.965935526753071</v>
      </c>
      <c r="AM487" s="65">
        <f>SUM(AM490:AM503)</f>
        <v>0</v>
      </c>
      <c r="AN487" s="65">
        <f>SUM(AN490:AN503)</f>
        <v>0</v>
      </c>
      <c r="AO487" s="65">
        <f>SUM(AO490:AO503)</f>
        <v>0</v>
      </c>
      <c r="AP487" s="65">
        <f>SUM(AP490:AP503)</f>
        <v>0</v>
      </c>
      <c r="AQ487" s="65">
        <f>AK487+AM487+AN487+AO487+AP487</f>
        <v>30079750</v>
      </c>
      <c r="AR487" s="65">
        <f>AQ487/AB487*100</f>
        <v>99.965935526753071</v>
      </c>
      <c r="AS487" s="65">
        <f>AB487-AQ487</f>
        <v>10250</v>
      </c>
      <c r="AT487" s="65">
        <f>SUM(AT490:AT496)</f>
        <v>9274500</v>
      </c>
      <c r="AU487" s="65">
        <f>AT487+U487</f>
        <v>9274500</v>
      </c>
      <c r="AV487" s="65">
        <f>AK487</f>
        <v>30079750</v>
      </c>
      <c r="AW487" s="66">
        <f>AV487/AU487*100</f>
        <v>324.32745700576851</v>
      </c>
      <c r="AX487" s="65">
        <f>AU487-AV487</f>
        <v>-20805250</v>
      </c>
      <c r="AY487" s="65">
        <f>AS487/AB487*100</f>
        <v>3.4064473246925887E-2</v>
      </c>
      <c r="AZ487" s="67">
        <f t="shared" si="116"/>
        <v>30079750</v>
      </c>
      <c r="BA487" s="29">
        <f>AS487</f>
        <v>10250</v>
      </c>
    </row>
    <row r="488" spans="1:53" ht="20.100000000000001" hidden="1" customHeight="1">
      <c r="A488" s="68"/>
      <c r="B488" s="69"/>
      <c r="C488" s="240" t="s">
        <v>682</v>
      </c>
      <c r="D488" s="240"/>
      <c r="E488" s="241"/>
      <c r="F488" s="70"/>
      <c r="G488" s="71"/>
      <c r="H488" s="240" t="s">
        <v>10</v>
      </c>
      <c r="I488" s="240"/>
      <c r="J488" s="240"/>
      <c r="K488" s="241"/>
      <c r="L488" s="49"/>
      <c r="M488" s="49"/>
      <c r="N488" s="49"/>
      <c r="O488" s="49"/>
      <c r="P488" s="49"/>
      <c r="Q488" s="49"/>
      <c r="R488" s="72"/>
      <c r="S488" s="49"/>
      <c r="T488" s="49"/>
      <c r="U488" s="49"/>
      <c r="V488" s="49"/>
      <c r="W488" s="49"/>
      <c r="X488" s="49"/>
      <c r="Y488" s="49"/>
      <c r="Z488" s="49"/>
      <c r="AA488" s="49"/>
      <c r="AB488" s="49"/>
      <c r="AC488" s="49">
        <f t="shared" si="109"/>
        <v>0</v>
      </c>
      <c r="AD488" s="49"/>
      <c r="AE488" s="49"/>
      <c r="AF488" s="49"/>
      <c r="AG488" s="49"/>
      <c r="AH488" s="49"/>
      <c r="AI488" s="49"/>
      <c r="AJ488" s="49"/>
      <c r="AK488" s="49"/>
      <c r="AL488" s="49"/>
      <c r="AM488" s="49"/>
      <c r="AN488" s="49"/>
      <c r="AO488" s="49"/>
      <c r="AP488" s="49"/>
      <c r="AQ488" s="49"/>
      <c r="AR488" s="49"/>
      <c r="AS488" s="49"/>
      <c r="AT488" s="49"/>
      <c r="AU488" s="49"/>
      <c r="AV488" s="49"/>
      <c r="AW488" s="49"/>
      <c r="AX488" s="49"/>
      <c r="AY488" s="49"/>
      <c r="AZ488" s="73">
        <f t="shared" si="116"/>
        <v>0</v>
      </c>
    </row>
    <row r="489" spans="1:53" ht="20.100000000000001" hidden="1" customHeight="1">
      <c r="A489" s="68"/>
      <c r="B489" s="69"/>
      <c r="C489" s="240" t="s">
        <v>683</v>
      </c>
      <c r="D489" s="240"/>
      <c r="E489" s="241"/>
      <c r="F489" s="70"/>
      <c r="G489" s="71"/>
      <c r="H489" s="71"/>
      <c r="I489" s="240" t="s">
        <v>177</v>
      </c>
      <c r="J489" s="240"/>
      <c r="K489" s="241"/>
      <c r="L489" s="49"/>
      <c r="M489" s="49"/>
      <c r="N489" s="49"/>
      <c r="O489" s="49"/>
      <c r="P489" s="49"/>
      <c r="Q489" s="49"/>
      <c r="R489" s="72"/>
      <c r="S489" s="49"/>
      <c r="T489" s="49"/>
      <c r="U489" s="49"/>
      <c r="V489" s="49"/>
      <c r="W489" s="49"/>
      <c r="X489" s="49"/>
      <c r="Y489" s="49"/>
      <c r="Z489" s="49"/>
      <c r="AA489" s="49"/>
      <c r="AB489" s="49"/>
      <c r="AC489" s="49">
        <f t="shared" si="109"/>
        <v>0</v>
      </c>
      <c r="AD489" s="49"/>
      <c r="AE489" s="49"/>
      <c r="AF489" s="49"/>
      <c r="AG489" s="49"/>
      <c r="AH489" s="49"/>
      <c r="AI489" s="49"/>
      <c r="AJ489" s="49"/>
      <c r="AK489" s="49"/>
      <c r="AL489" s="49"/>
      <c r="AM489" s="49"/>
      <c r="AN489" s="49"/>
      <c r="AO489" s="49"/>
      <c r="AP489" s="49"/>
      <c r="AQ489" s="49"/>
      <c r="AR489" s="49"/>
      <c r="AS489" s="49"/>
      <c r="AT489" s="49"/>
      <c r="AU489" s="49"/>
      <c r="AV489" s="49"/>
      <c r="AW489" s="49"/>
      <c r="AX489" s="49"/>
      <c r="AY489" s="49"/>
      <c r="AZ489" s="73">
        <f t="shared" si="116"/>
        <v>0</v>
      </c>
    </row>
    <row r="490" spans="1:53" ht="20.100000000000001" hidden="1" customHeight="1">
      <c r="A490" s="68"/>
      <c r="B490" s="69"/>
      <c r="C490" s="240" t="s">
        <v>684</v>
      </c>
      <c r="D490" s="240"/>
      <c r="E490" s="241"/>
      <c r="F490" s="70"/>
      <c r="G490" s="71"/>
      <c r="H490" s="71"/>
      <c r="I490" s="71"/>
      <c r="J490" s="240" t="s">
        <v>283</v>
      </c>
      <c r="K490" s="241"/>
      <c r="L490" s="49">
        <v>1080000</v>
      </c>
      <c r="M490" s="49">
        <v>0</v>
      </c>
      <c r="N490" s="49"/>
      <c r="O490" s="49"/>
      <c r="P490" s="49"/>
      <c r="Q490" s="49">
        <f>SUM(N490:P490)</f>
        <v>0</v>
      </c>
      <c r="R490" s="72"/>
      <c r="S490" s="49">
        <f>M490-Q490</f>
        <v>0</v>
      </c>
      <c r="T490" s="49">
        <v>0</v>
      </c>
      <c r="U490" s="49">
        <f>T490+M490</f>
        <v>0</v>
      </c>
      <c r="V490" s="49">
        <f>T490+S490</f>
        <v>0</v>
      </c>
      <c r="W490" s="49"/>
      <c r="X490" s="49"/>
      <c r="Y490" s="49"/>
      <c r="Z490" s="49"/>
      <c r="AA490" s="49">
        <v>1080000</v>
      </c>
      <c r="AB490" s="49">
        <v>1080000</v>
      </c>
      <c r="AC490" s="49">
        <f t="shared" si="109"/>
        <v>0</v>
      </c>
      <c r="AD490" s="49">
        <f>AA490+T490+M490</f>
        <v>1080000</v>
      </c>
      <c r="AE490" s="49"/>
      <c r="AF490" s="49"/>
      <c r="AG490" s="49">
        <v>1080000</v>
      </c>
      <c r="AH490" s="49"/>
      <c r="AI490" s="49"/>
      <c r="AJ490" s="49"/>
      <c r="AK490" s="49">
        <f>Z490+Y490+X490+W490+N490+AG490+AE490+AJ490+AI490+AH490</f>
        <v>1080000</v>
      </c>
      <c r="AL490" s="49">
        <f>AK490/AD490*100</f>
        <v>100</v>
      </c>
      <c r="AM490" s="49"/>
      <c r="AN490" s="49"/>
      <c r="AO490" s="49"/>
      <c r="AP490" s="49"/>
      <c r="AQ490" s="49">
        <f>AK490+AM490+AN490+AO490+AP490</f>
        <v>1080000</v>
      </c>
      <c r="AR490" s="49">
        <f>AQ490/AB490*100</f>
        <v>100</v>
      </c>
      <c r="AS490" s="49">
        <f t="shared" si="114"/>
        <v>0</v>
      </c>
      <c r="AT490" s="49">
        <v>3091500</v>
      </c>
      <c r="AU490" s="49">
        <f>AT490+U490</f>
        <v>3091500</v>
      </c>
      <c r="AV490" s="49">
        <f>AK490</f>
        <v>1080000</v>
      </c>
      <c r="AW490" s="72">
        <f>AV490/AU490*100</f>
        <v>34.934497816593883</v>
      </c>
      <c r="AX490" s="49">
        <f>AU490-AV490</f>
        <v>2011500</v>
      </c>
      <c r="AY490" s="49">
        <f t="shared" si="115"/>
        <v>0</v>
      </c>
      <c r="AZ490" s="73">
        <f t="shared" si="116"/>
        <v>1080000</v>
      </c>
    </row>
    <row r="491" spans="1:53" ht="20.100000000000001" hidden="1" customHeight="1">
      <c r="A491" s="68"/>
      <c r="B491" s="69"/>
      <c r="C491" s="240" t="s">
        <v>685</v>
      </c>
      <c r="D491" s="240"/>
      <c r="E491" s="241"/>
      <c r="F491" s="70"/>
      <c r="G491" s="71"/>
      <c r="H491" s="240" t="s">
        <v>143</v>
      </c>
      <c r="I491" s="240"/>
      <c r="J491" s="240"/>
      <c r="K491" s="241"/>
      <c r="L491" s="49"/>
      <c r="M491" s="49"/>
      <c r="N491" s="49"/>
      <c r="O491" s="49"/>
      <c r="P491" s="49"/>
      <c r="Q491" s="49"/>
      <c r="R491" s="72"/>
      <c r="S491" s="49"/>
      <c r="T491" s="49"/>
      <c r="U491" s="49"/>
      <c r="V491" s="49"/>
      <c r="W491" s="49"/>
      <c r="X491" s="49"/>
      <c r="Y491" s="49"/>
      <c r="Z491" s="49"/>
      <c r="AA491" s="49"/>
      <c r="AB491" s="49"/>
      <c r="AC491" s="49">
        <f t="shared" si="109"/>
        <v>0</v>
      </c>
      <c r="AD491" s="49"/>
      <c r="AE491" s="49"/>
      <c r="AF491" s="49"/>
      <c r="AG491" s="49"/>
      <c r="AH491" s="49"/>
      <c r="AI491" s="49"/>
      <c r="AJ491" s="49"/>
      <c r="AK491" s="49"/>
      <c r="AL491" s="49"/>
      <c r="AM491" s="49"/>
      <c r="AN491" s="49"/>
      <c r="AO491" s="49"/>
      <c r="AP491" s="49"/>
      <c r="AQ491" s="49"/>
      <c r="AR491" s="49"/>
      <c r="AS491" s="49"/>
      <c r="AT491" s="49"/>
      <c r="AU491" s="49"/>
      <c r="AV491" s="49"/>
      <c r="AW491" s="49"/>
      <c r="AX491" s="49"/>
      <c r="AY491" s="49"/>
      <c r="AZ491" s="73">
        <f t="shared" si="116"/>
        <v>0</v>
      </c>
    </row>
    <row r="492" spans="1:53" ht="20.100000000000001" hidden="1" customHeight="1">
      <c r="A492" s="68"/>
      <c r="B492" s="69"/>
      <c r="C492" s="240" t="s">
        <v>686</v>
      </c>
      <c r="D492" s="240"/>
      <c r="E492" s="241"/>
      <c r="F492" s="70"/>
      <c r="G492" s="71"/>
      <c r="H492" s="71"/>
      <c r="I492" s="240" t="s">
        <v>145</v>
      </c>
      <c r="J492" s="240"/>
      <c r="K492" s="241"/>
      <c r="L492" s="49"/>
      <c r="M492" s="49"/>
      <c r="N492" s="49"/>
      <c r="O492" s="49"/>
      <c r="P492" s="49"/>
      <c r="Q492" s="49"/>
      <c r="R492" s="72"/>
      <c r="S492" s="49"/>
      <c r="T492" s="49"/>
      <c r="U492" s="49"/>
      <c r="V492" s="49"/>
      <c r="W492" s="49"/>
      <c r="X492" s="49"/>
      <c r="Y492" s="49"/>
      <c r="Z492" s="49"/>
      <c r="AA492" s="49"/>
      <c r="AB492" s="49"/>
      <c r="AC492" s="49">
        <f t="shared" si="109"/>
        <v>0</v>
      </c>
      <c r="AD492" s="49"/>
      <c r="AE492" s="49"/>
      <c r="AF492" s="49"/>
      <c r="AG492" s="49"/>
      <c r="AH492" s="49"/>
      <c r="AI492" s="49"/>
      <c r="AJ492" s="49"/>
      <c r="AK492" s="49"/>
      <c r="AL492" s="49"/>
      <c r="AM492" s="49"/>
      <c r="AN492" s="49"/>
      <c r="AO492" s="49"/>
      <c r="AP492" s="49"/>
      <c r="AQ492" s="49"/>
      <c r="AR492" s="49"/>
      <c r="AS492" s="49"/>
      <c r="AT492" s="49"/>
      <c r="AU492" s="49"/>
      <c r="AV492" s="49"/>
      <c r="AW492" s="49"/>
      <c r="AX492" s="49"/>
      <c r="AY492" s="49"/>
      <c r="AZ492" s="73">
        <f t="shared" si="116"/>
        <v>0</v>
      </c>
    </row>
    <row r="493" spans="1:53" ht="20.100000000000001" hidden="1" customHeight="1">
      <c r="A493" s="68"/>
      <c r="B493" s="69"/>
      <c r="C493" s="240" t="s">
        <v>687</v>
      </c>
      <c r="D493" s="240"/>
      <c r="E493" s="241"/>
      <c r="F493" s="70"/>
      <c r="G493" s="71"/>
      <c r="H493" s="71"/>
      <c r="I493" s="71"/>
      <c r="J493" s="240" t="s">
        <v>147</v>
      </c>
      <c r="K493" s="241"/>
      <c r="L493" s="49">
        <v>855000</v>
      </c>
      <c r="M493" s="49">
        <v>0</v>
      </c>
      <c r="N493" s="49"/>
      <c r="O493" s="49"/>
      <c r="P493" s="49"/>
      <c r="Q493" s="49">
        <f>SUM(N493:P493)</f>
        <v>0</v>
      </c>
      <c r="R493" s="72"/>
      <c r="S493" s="49">
        <f>M493-Q493</f>
        <v>0</v>
      </c>
      <c r="T493" s="49">
        <v>0</v>
      </c>
      <c r="U493" s="49">
        <f>T493+M493</f>
        <v>0</v>
      </c>
      <c r="V493" s="49">
        <f>T493+S493</f>
        <v>0</v>
      </c>
      <c r="W493" s="49"/>
      <c r="X493" s="49"/>
      <c r="Y493" s="49"/>
      <c r="Z493" s="49"/>
      <c r="AA493" s="49">
        <v>855000</v>
      </c>
      <c r="AB493" s="49">
        <v>855000</v>
      </c>
      <c r="AC493" s="49">
        <f t="shared" si="109"/>
        <v>0</v>
      </c>
      <c r="AD493" s="49">
        <f>AA493+T493+M493</f>
        <v>855000</v>
      </c>
      <c r="AE493" s="49"/>
      <c r="AF493" s="49"/>
      <c r="AG493" s="49">
        <v>854750</v>
      </c>
      <c r="AH493" s="49"/>
      <c r="AI493" s="49"/>
      <c r="AJ493" s="49"/>
      <c r="AK493" s="49">
        <f>Z493+Y493+X493+W493+N493+AG493+AE493+AJ493+AI493+AH493</f>
        <v>854750</v>
      </c>
      <c r="AL493" s="49">
        <f>AK493/AD493*100</f>
        <v>99.970760233918128</v>
      </c>
      <c r="AM493" s="49"/>
      <c r="AN493" s="49"/>
      <c r="AO493" s="49"/>
      <c r="AP493" s="49"/>
      <c r="AQ493" s="49">
        <f>AK493+AM493+AN493+AO493+AP493</f>
        <v>854750</v>
      </c>
      <c r="AR493" s="49">
        <f>AQ493/AB493*100</f>
        <v>99.970760233918128</v>
      </c>
      <c r="AS493" s="49">
        <f t="shared" si="114"/>
        <v>250</v>
      </c>
      <c r="AT493" s="49">
        <v>3091500</v>
      </c>
      <c r="AU493" s="49">
        <f>AT493+U493</f>
        <v>3091500</v>
      </c>
      <c r="AV493" s="49">
        <f>AK493</f>
        <v>854750</v>
      </c>
      <c r="AW493" s="72">
        <f>AV493/AU493*100</f>
        <v>27.648390748827428</v>
      </c>
      <c r="AX493" s="49">
        <f>AU493-AV493</f>
        <v>2236750</v>
      </c>
      <c r="AY493" s="49">
        <f t="shared" si="115"/>
        <v>2.9239766081871347E-2</v>
      </c>
      <c r="AZ493" s="73">
        <f t="shared" si="116"/>
        <v>854750</v>
      </c>
    </row>
    <row r="494" spans="1:53" ht="20.100000000000001" hidden="1" customHeight="1">
      <c r="A494" s="68"/>
      <c r="B494" s="69"/>
      <c r="C494" s="240" t="s">
        <v>688</v>
      </c>
      <c r="D494" s="240"/>
      <c r="E494" s="241"/>
      <c r="F494" s="70"/>
      <c r="G494" s="71"/>
      <c r="H494" s="71"/>
      <c r="I494" s="240" t="s">
        <v>163</v>
      </c>
      <c r="J494" s="240"/>
      <c r="K494" s="241"/>
      <c r="L494" s="49"/>
      <c r="M494" s="49"/>
      <c r="N494" s="49"/>
      <c r="O494" s="49"/>
      <c r="P494" s="49"/>
      <c r="Q494" s="49"/>
      <c r="R494" s="72"/>
      <c r="S494" s="49"/>
      <c r="T494" s="49"/>
      <c r="U494" s="49"/>
      <c r="V494" s="49"/>
      <c r="W494" s="49"/>
      <c r="X494" s="49"/>
      <c r="Y494" s="49"/>
      <c r="Z494" s="49"/>
      <c r="AA494" s="49"/>
      <c r="AB494" s="49"/>
      <c r="AC494" s="49">
        <f t="shared" si="109"/>
        <v>0</v>
      </c>
      <c r="AD494" s="49"/>
      <c r="AE494" s="49"/>
      <c r="AF494" s="49"/>
      <c r="AG494" s="49"/>
      <c r="AH494" s="49"/>
      <c r="AI494" s="49"/>
      <c r="AJ494" s="49"/>
      <c r="AK494" s="49"/>
      <c r="AL494" s="49"/>
      <c r="AM494" s="49"/>
      <c r="AN494" s="49"/>
      <c r="AO494" s="49"/>
      <c r="AP494" s="49"/>
      <c r="AQ494" s="49"/>
      <c r="AR494" s="49"/>
      <c r="AS494" s="49"/>
      <c r="AT494" s="49"/>
      <c r="AU494" s="49"/>
      <c r="AV494" s="49"/>
      <c r="AW494" s="49"/>
      <c r="AX494" s="49"/>
      <c r="AY494" s="49"/>
      <c r="AZ494" s="73">
        <f t="shared" si="116"/>
        <v>0</v>
      </c>
    </row>
    <row r="495" spans="1:53" ht="20.100000000000001" hidden="1" customHeight="1">
      <c r="A495" s="68"/>
      <c r="B495" s="69"/>
      <c r="C495" s="240" t="s">
        <v>689</v>
      </c>
      <c r="D495" s="240"/>
      <c r="E495" s="241"/>
      <c r="F495" s="70"/>
      <c r="G495" s="71"/>
      <c r="H495" s="71"/>
      <c r="I495" s="71"/>
      <c r="J495" s="240" t="s">
        <v>352</v>
      </c>
      <c r="K495" s="241"/>
      <c r="L495" s="49">
        <v>10000000</v>
      </c>
      <c r="M495" s="49">
        <v>0</v>
      </c>
      <c r="N495" s="49"/>
      <c r="O495" s="49"/>
      <c r="P495" s="49"/>
      <c r="Q495" s="49">
        <f>SUM(N495:P495)</f>
        <v>0</v>
      </c>
      <c r="R495" s="72"/>
      <c r="S495" s="49">
        <f>M495-Q495</f>
        <v>0</v>
      </c>
      <c r="T495" s="49">
        <v>0</v>
      </c>
      <c r="U495" s="49">
        <f>T495+M495</f>
        <v>0</v>
      </c>
      <c r="V495" s="49">
        <f>T495+S495</f>
        <v>0</v>
      </c>
      <c r="W495" s="49"/>
      <c r="X495" s="49"/>
      <c r="Y495" s="49"/>
      <c r="Z495" s="49"/>
      <c r="AA495" s="49">
        <v>10000000</v>
      </c>
      <c r="AB495" s="49">
        <v>10000000</v>
      </c>
      <c r="AC495" s="49">
        <f t="shared" si="109"/>
        <v>0</v>
      </c>
      <c r="AD495" s="49">
        <f>AA495+T495+M495</f>
        <v>10000000</v>
      </c>
      <c r="AE495" s="49"/>
      <c r="AF495" s="49"/>
      <c r="AG495" s="49">
        <v>10000000</v>
      </c>
      <c r="AH495" s="49"/>
      <c r="AI495" s="49"/>
      <c r="AJ495" s="49"/>
      <c r="AK495" s="49">
        <f>Z495+Y495+X495+W495+N495+AG495+AE495+AJ495+AI495+AH495</f>
        <v>10000000</v>
      </c>
      <c r="AL495" s="49">
        <f>AK495/AD495*100</f>
        <v>100</v>
      </c>
      <c r="AM495" s="49"/>
      <c r="AN495" s="49"/>
      <c r="AO495" s="49"/>
      <c r="AP495" s="49"/>
      <c r="AQ495" s="49">
        <f>AK495+AM495+AN495+AO495+AP495</f>
        <v>10000000</v>
      </c>
      <c r="AR495" s="49">
        <f>AQ495/AB495*100</f>
        <v>100</v>
      </c>
      <c r="AS495" s="49">
        <f t="shared" si="114"/>
        <v>0</v>
      </c>
      <c r="AT495" s="49">
        <v>3091500</v>
      </c>
      <c r="AU495" s="49">
        <f>AT495+U495</f>
        <v>3091500</v>
      </c>
      <c r="AV495" s="49">
        <f>AK495</f>
        <v>10000000</v>
      </c>
      <c r="AW495" s="72">
        <f>AV495/AU495*100</f>
        <v>323.46757237586934</v>
      </c>
      <c r="AX495" s="49">
        <f>AU495-AV495</f>
        <v>-6908500</v>
      </c>
      <c r="AY495" s="49">
        <f t="shared" si="115"/>
        <v>0</v>
      </c>
      <c r="AZ495" s="73">
        <f t="shared" si="116"/>
        <v>10000000</v>
      </c>
    </row>
    <row r="496" spans="1:53" ht="20.100000000000001" hidden="1" customHeight="1">
      <c r="A496" s="68"/>
      <c r="B496" s="69"/>
      <c r="C496" s="240" t="s">
        <v>690</v>
      </c>
      <c r="D496" s="240"/>
      <c r="E496" s="241"/>
      <c r="F496" s="70"/>
      <c r="G496" s="71"/>
      <c r="H496" s="71"/>
      <c r="I496" s="240" t="s">
        <v>151</v>
      </c>
      <c r="J496" s="240"/>
      <c r="K496" s="241"/>
      <c r="L496" s="49"/>
      <c r="M496" s="49"/>
      <c r="N496" s="49"/>
      <c r="O496" s="49"/>
      <c r="P496" s="49"/>
      <c r="Q496" s="49"/>
      <c r="R496" s="72"/>
      <c r="S496" s="49"/>
      <c r="T496" s="49"/>
      <c r="U496" s="49"/>
      <c r="V496" s="49"/>
      <c r="W496" s="49"/>
      <c r="X496" s="49"/>
      <c r="Y496" s="49"/>
      <c r="Z496" s="49"/>
      <c r="AA496" s="49"/>
      <c r="AB496" s="49"/>
      <c r="AC496" s="49">
        <f t="shared" si="109"/>
        <v>0</v>
      </c>
      <c r="AD496" s="49"/>
      <c r="AE496" s="49"/>
      <c r="AF496" s="49"/>
      <c r="AG496" s="49"/>
      <c r="AH496" s="49"/>
      <c r="AI496" s="49"/>
      <c r="AJ496" s="49"/>
      <c r="AK496" s="49"/>
      <c r="AL496" s="49"/>
      <c r="AM496" s="49"/>
      <c r="AN496" s="49"/>
      <c r="AO496" s="49"/>
      <c r="AP496" s="49"/>
      <c r="AQ496" s="49"/>
      <c r="AR496" s="49"/>
      <c r="AS496" s="49"/>
      <c r="AT496" s="49"/>
      <c r="AU496" s="49"/>
      <c r="AV496" s="49"/>
      <c r="AW496" s="49"/>
      <c r="AX496" s="49"/>
      <c r="AY496" s="49"/>
      <c r="AZ496" s="73">
        <f t="shared" si="116"/>
        <v>0</v>
      </c>
    </row>
    <row r="497" spans="1:53" ht="20.100000000000001" hidden="1" customHeight="1">
      <c r="A497" s="68"/>
      <c r="B497" s="69"/>
      <c r="C497" s="240" t="s">
        <v>691</v>
      </c>
      <c r="D497" s="240"/>
      <c r="E497" s="241"/>
      <c r="F497" s="70"/>
      <c r="G497" s="71"/>
      <c r="H497" s="71"/>
      <c r="I497" s="71"/>
      <c r="J497" s="240" t="s">
        <v>155</v>
      </c>
      <c r="K497" s="241"/>
      <c r="L497" s="49">
        <v>875000</v>
      </c>
      <c r="M497" s="49">
        <v>0</v>
      </c>
      <c r="N497" s="49"/>
      <c r="O497" s="49"/>
      <c r="P497" s="49"/>
      <c r="Q497" s="49">
        <f>SUM(N497:P497)</f>
        <v>0</v>
      </c>
      <c r="R497" s="72"/>
      <c r="S497" s="49">
        <f>M497-Q497</f>
        <v>0</v>
      </c>
      <c r="T497" s="49">
        <v>0</v>
      </c>
      <c r="U497" s="49">
        <f>T497+M497</f>
        <v>0</v>
      </c>
      <c r="V497" s="49">
        <f>T497+S497</f>
        <v>0</v>
      </c>
      <c r="W497" s="49"/>
      <c r="X497" s="49"/>
      <c r="Y497" s="49"/>
      <c r="Z497" s="49"/>
      <c r="AA497" s="49">
        <v>875000</v>
      </c>
      <c r="AB497" s="49">
        <v>875000</v>
      </c>
      <c r="AC497" s="49">
        <f t="shared" si="109"/>
        <v>0</v>
      </c>
      <c r="AD497" s="49">
        <f>AA497+T497+M497</f>
        <v>875000</v>
      </c>
      <c r="AE497" s="49"/>
      <c r="AF497" s="49"/>
      <c r="AG497" s="49">
        <v>875000</v>
      </c>
      <c r="AH497" s="49"/>
      <c r="AI497" s="49"/>
      <c r="AJ497" s="49"/>
      <c r="AK497" s="49">
        <f>Z497+Y497+X497+W497+N497+AG497+AE497+AJ497+AI497+AH497</f>
        <v>875000</v>
      </c>
      <c r="AL497" s="49">
        <f>AK497/AD497*100</f>
        <v>100</v>
      </c>
      <c r="AM497" s="49"/>
      <c r="AN497" s="49"/>
      <c r="AO497" s="49"/>
      <c r="AP497" s="49"/>
      <c r="AQ497" s="49">
        <f>AK497+AM497+AN497+AO497+AP497</f>
        <v>875000</v>
      </c>
      <c r="AR497" s="49">
        <f>AQ497/AB497*100</f>
        <v>100</v>
      </c>
      <c r="AS497" s="49">
        <f t="shared" si="114"/>
        <v>0</v>
      </c>
      <c r="AT497" s="49">
        <v>3091500</v>
      </c>
      <c r="AU497" s="49">
        <f>AT497+U497</f>
        <v>3091500</v>
      </c>
      <c r="AV497" s="49">
        <f>AK497</f>
        <v>875000</v>
      </c>
      <c r="AW497" s="72">
        <f>AV497/AU497*100</f>
        <v>28.303412582888566</v>
      </c>
      <c r="AX497" s="49">
        <f>AU497-AV497</f>
        <v>2216500</v>
      </c>
      <c r="AY497" s="49">
        <f t="shared" si="115"/>
        <v>0</v>
      </c>
      <c r="AZ497" s="73">
        <f t="shared" si="116"/>
        <v>875000</v>
      </c>
    </row>
    <row r="498" spans="1:53" ht="20.100000000000001" hidden="1" customHeight="1">
      <c r="A498" s="68"/>
      <c r="B498" s="69"/>
      <c r="C498" s="240" t="s">
        <v>692</v>
      </c>
      <c r="D498" s="240"/>
      <c r="E498" s="241"/>
      <c r="F498" s="70"/>
      <c r="G498" s="71"/>
      <c r="H498" s="71"/>
      <c r="I498" s="240" t="s">
        <v>193</v>
      </c>
      <c r="J498" s="240"/>
      <c r="K498" s="241"/>
      <c r="L498" s="49"/>
      <c r="M498" s="49"/>
      <c r="N498" s="49"/>
      <c r="O498" s="49"/>
      <c r="P498" s="49"/>
      <c r="Q498" s="49"/>
      <c r="R498" s="72"/>
      <c r="S498" s="49"/>
      <c r="T498" s="49"/>
      <c r="U498" s="49"/>
      <c r="V498" s="49"/>
      <c r="W498" s="49"/>
      <c r="X498" s="49"/>
      <c r="Y498" s="49"/>
      <c r="Z498" s="49"/>
      <c r="AA498" s="49"/>
      <c r="AB498" s="49"/>
      <c r="AC498" s="49">
        <f t="shared" si="109"/>
        <v>0</v>
      </c>
      <c r="AD498" s="49"/>
      <c r="AE498" s="49"/>
      <c r="AF498" s="49"/>
      <c r="AG498" s="49"/>
      <c r="AH498" s="49"/>
      <c r="AI498" s="49"/>
      <c r="AJ498" s="49"/>
      <c r="AK498" s="49"/>
      <c r="AL498" s="49"/>
      <c r="AM498" s="49"/>
      <c r="AN498" s="49"/>
      <c r="AO498" s="49"/>
      <c r="AP498" s="49"/>
      <c r="AQ498" s="49"/>
      <c r="AR498" s="49"/>
      <c r="AS498" s="49"/>
      <c r="AT498" s="49"/>
      <c r="AU498" s="49"/>
      <c r="AV498" s="49"/>
      <c r="AW498" s="49"/>
      <c r="AX498" s="49"/>
      <c r="AY498" s="49"/>
      <c r="AZ498" s="73">
        <f t="shared" si="116"/>
        <v>0</v>
      </c>
    </row>
    <row r="499" spans="1:53" ht="20.100000000000001" hidden="1" customHeight="1">
      <c r="A499" s="68"/>
      <c r="B499" s="69"/>
      <c r="C499" s="240" t="s">
        <v>693</v>
      </c>
      <c r="D499" s="240"/>
      <c r="E499" s="241"/>
      <c r="F499" s="70"/>
      <c r="G499" s="71"/>
      <c r="H499" s="71"/>
      <c r="I499" s="71"/>
      <c r="J499" s="240" t="s">
        <v>195</v>
      </c>
      <c r="K499" s="241"/>
      <c r="L499" s="49">
        <v>8900000</v>
      </c>
      <c r="M499" s="49">
        <v>0</v>
      </c>
      <c r="N499" s="49"/>
      <c r="O499" s="49"/>
      <c r="P499" s="49"/>
      <c r="Q499" s="49">
        <f>SUM(N499:P499)</f>
        <v>0</v>
      </c>
      <c r="R499" s="72"/>
      <c r="S499" s="49">
        <f>M499-Q499</f>
        <v>0</v>
      </c>
      <c r="T499" s="49">
        <v>0</v>
      </c>
      <c r="U499" s="49">
        <f>T499+M499</f>
        <v>0</v>
      </c>
      <c r="V499" s="49">
        <f>T499+S499</f>
        <v>0</v>
      </c>
      <c r="W499" s="49"/>
      <c r="X499" s="49"/>
      <c r="Y499" s="49"/>
      <c r="Z499" s="49"/>
      <c r="AA499" s="49">
        <v>8900000</v>
      </c>
      <c r="AB499" s="49">
        <v>8900000</v>
      </c>
      <c r="AC499" s="49">
        <f t="shared" si="109"/>
        <v>0</v>
      </c>
      <c r="AD499" s="49">
        <f>AA499+T499+M499</f>
        <v>8900000</v>
      </c>
      <c r="AE499" s="49"/>
      <c r="AF499" s="49"/>
      <c r="AG499" s="49">
        <v>8900000</v>
      </c>
      <c r="AH499" s="49"/>
      <c r="AI499" s="49"/>
      <c r="AJ499" s="49"/>
      <c r="AK499" s="49">
        <f>Z499+Y499+X499+W499+N499+AG499+AE499+AJ499+AI499+AH499</f>
        <v>8900000</v>
      </c>
      <c r="AL499" s="49">
        <f>AK499/AD499*100</f>
        <v>100</v>
      </c>
      <c r="AM499" s="49"/>
      <c r="AN499" s="49"/>
      <c r="AO499" s="49"/>
      <c r="AP499" s="49"/>
      <c r="AQ499" s="49">
        <f>AK499+AM499+AN499+AO499+AP499</f>
        <v>8900000</v>
      </c>
      <c r="AR499" s="49">
        <f>AQ499/AB499*100</f>
        <v>100</v>
      </c>
      <c r="AS499" s="49">
        <f t="shared" si="114"/>
        <v>0</v>
      </c>
      <c r="AT499" s="49">
        <v>3091500</v>
      </c>
      <c r="AU499" s="49">
        <f>AT499+U499</f>
        <v>3091500</v>
      </c>
      <c r="AV499" s="49">
        <f>AK499</f>
        <v>8900000</v>
      </c>
      <c r="AW499" s="72">
        <f>AV499/AU499*100</f>
        <v>287.88613941452371</v>
      </c>
      <c r="AX499" s="49">
        <f>AU499-AV499</f>
        <v>-5808500</v>
      </c>
      <c r="AY499" s="49">
        <f t="shared" si="115"/>
        <v>0</v>
      </c>
      <c r="AZ499" s="73">
        <f t="shared" si="116"/>
        <v>8900000</v>
      </c>
    </row>
    <row r="500" spans="1:53" ht="20.100000000000001" hidden="1" customHeight="1">
      <c r="A500" s="68"/>
      <c r="B500" s="69"/>
      <c r="C500" s="240" t="s">
        <v>694</v>
      </c>
      <c r="D500" s="240"/>
      <c r="E500" s="241"/>
      <c r="F500" s="70"/>
      <c r="G500" s="71"/>
      <c r="H500" s="71"/>
      <c r="I500" s="240" t="s">
        <v>48</v>
      </c>
      <c r="J500" s="240"/>
      <c r="K500" s="241"/>
      <c r="L500" s="49"/>
      <c r="M500" s="49"/>
      <c r="N500" s="49"/>
      <c r="O500" s="49"/>
      <c r="P500" s="49"/>
      <c r="Q500" s="49"/>
      <c r="R500" s="72"/>
      <c r="S500" s="49"/>
      <c r="T500" s="49"/>
      <c r="U500" s="49"/>
      <c r="V500" s="49"/>
      <c r="W500" s="49"/>
      <c r="X500" s="49"/>
      <c r="Y500" s="49"/>
      <c r="Z500" s="49"/>
      <c r="AA500" s="49"/>
      <c r="AB500" s="49"/>
      <c r="AC500" s="49">
        <f t="shared" ref="AC500:AC563" si="118">AB500-L500</f>
        <v>0</v>
      </c>
      <c r="AD500" s="49"/>
      <c r="AE500" s="49"/>
      <c r="AF500" s="49"/>
      <c r="AG500" s="49"/>
      <c r="AH500" s="49"/>
      <c r="AI500" s="49"/>
      <c r="AJ500" s="49"/>
      <c r="AK500" s="49"/>
      <c r="AL500" s="49"/>
      <c r="AM500" s="49"/>
      <c r="AN500" s="49"/>
      <c r="AO500" s="49"/>
      <c r="AP500" s="49"/>
      <c r="AQ500" s="49"/>
      <c r="AR500" s="49"/>
      <c r="AS500" s="49"/>
      <c r="AT500" s="49"/>
      <c r="AU500" s="49"/>
      <c r="AV500" s="49"/>
      <c r="AW500" s="49"/>
      <c r="AX500" s="49"/>
      <c r="AY500" s="49"/>
      <c r="AZ500" s="73">
        <f t="shared" si="116"/>
        <v>0</v>
      </c>
    </row>
    <row r="501" spans="1:53" ht="20.100000000000001" hidden="1" customHeight="1">
      <c r="A501" s="68"/>
      <c r="B501" s="69"/>
      <c r="C501" s="240" t="s">
        <v>695</v>
      </c>
      <c r="D501" s="240"/>
      <c r="E501" s="241"/>
      <c r="F501" s="70"/>
      <c r="G501" s="71"/>
      <c r="H501" s="71"/>
      <c r="I501" s="71"/>
      <c r="J501" s="240" t="s">
        <v>159</v>
      </c>
      <c r="K501" s="241"/>
      <c r="L501" s="49">
        <v>3580000</v>
      </c>
      <c r="M501" s="49">
        <v>0</v>
      </c>
      <c r="N501" s="49"/>
      <c r="O501" s="49"/>
      <c r="P501" s="49"/>
      <c r="Q501" s="49">
        <f>SUM(N501:P501)</f>
        <v>0</v>
      </c>
      <c r="R501" s="72"/>
      <c r="S501" s="49">
        <f>M501-Q501</f>
        <v>0</v>
      </c>
      <c r="T501" s="49">
        <v>0</v>
      </c>
      <c r="U501" s="49">
        <f>T501+M501</f>
        <v>0</v>
      </c>
      <c r="V501" s="49">
        <f>T501+S501</f>
        <v>0</v>
      </c>
      <c r="W501" s="49"/>
      <c r="X501" s="49"/>
      <c r="Y501" s="49"/>
      <c r="Z501" s="49"/>
      <c r="AA501" s="49">
        <v>3580000</v>
      </c>
      <c r="AB501" s="49">
        <v>3580000</v>
      </c>
      <c r="AC501" s="49">
        <f t="shared" si="118"/>
        <v>0</v>
      </c>
      <c r="AD501" s="49">
        <f>AA501+T501+M501</f>
        <v>3580000</v>
      </c>
      <c r="AE501" s="49"/>
      <c r="AF501" s="49"/>
      <c r="AG501" s="49">
        <v>3570000</v>
      </c>
      <c r="AH501" s="49"/>
      <c r="AI501" s="49"/>
      <c r="AJ501" s="49"/>
      <c r="AK501" s="49">
        <f>Z501+Y501+X501+W501+N501+AG501+AE501+AJ501+AI501+AH501</f>
        <v>3570000</v>
      </c>
      <c r="AL501" s="49">
        <f>AK501/AD501*100</f>
        <v>99.720670391061446</v>
      </c>
      <c r="AM501" s="49"/>
      <c r="AN501" s="49"/>
      <c r="AO501" s="49"/>
      <c r="AP501" s="49"/>
      <c r="AQ501" s="49">
        <f>AK501+AM501+AN501+AO501+AP501</f>
        <v>3570000</v>
      </c>
      <c r="AR501" s="49">
        <f>AQ501/AB501*100</f>
        <v>99.720670391061446</v>
      </c>
      <c r="AS501" s="49">
        <f t="shared" si="114"/>
        <v>10000</v>
      </c>
      <c r="AT501" s="49">
        <v>3091500</v>
      </c>
      <c r="AU501" s="49">
        <f>AT501+U501</f>
        <v>3091500</v>
      </c>
      <c r="AV501" s="49">
        <f>AK501</f>
        <v>3570000</v>
      </c>
      <c r="AW501" s="72">
        <f>AV501/AU501*100</f>
        <v>115.47792333818533</v>
      </c>
      <c r="AX501" s="49">
        <f>AU501-AV501</f>
        <v>-478500</v>
      </c>
      <c r="AY501" s="49">
        <f t="shared" si="115"/>
        <v>0.27932960893854747</v>
      </c>
      <c r="AZ501" s="73">
        <f t="shared" si="116"/>
        <v>3570000</v>
      </c>
    </row>
    <row r="502" spans="1:53" ht="20.100000000000001" hidden="1" customHeight="1">
      <c r="A502" s="68"/>
      <c r="B502" s="69"/>
      <c r="C502" s="240" t="s">
        <v>696</v>
      </c>
      <c r="D502" s="240"/>
      <c r="E502" s="241"/>
      <c r="F502" s="70"/>
      <c r="G502" s="71"/>
      <c r="H502" s="71"/>
      <c r="I502" s="240" t="s">
        <v>402</v>
      </c>
      <c r="J502" s="240"/>
      <c r="K502" s="241"/>
      <c r="L502" s="49"/>
      <c r="M502" s="49"/>
      <c r="N502" s="49"/>
      <c r="O502" s="49"/>
      <c r="P502" s="49"/>
      <c r="Q502" s="49"/>
      <c r="R502" s="72"/>
      <c r="S502" s="49"/>
      <c r="T502" s="49"/>
      <c r="U502" s="49"/>
      <c r="V502" s="49"/>
      <c r="W502" s="49"/>
      <c r="X502" s="49"/>
      <c r="Y502" s="49"/>
      <c r="Z502" s="49"/>
      <c r="AA502" s="49"/>
      <c r="AB502" s="49"/>
      <c r="AC502" s="49">
        <f t="shared" si="118"/>
        <v>0</v>
      </c>
      <c r="AD502" s="49"/>
      <c r="AE502" s="49"/>
      <c r="AF502" s="49"/>
      <c r="AG502" s="49"/>
      <c r="AH502" s="49"/>
      <c r="AI502" s="49"/>
      <c r="AJ502" s="49"/>
      <c r="AK502" s="49"/>
      <c r="AL502" s="49"/>
      <c r="AM502" s="49"/>
      <c r="AN502" s="49"/>
      <c r="AO502" s="49"/>
      <c r="AP502" s="49"/>
      <c r="AQ502" s="49"/>
      <c r="AR502" s="49"/>
      <c r="AS502" s="49"/>
      <c r="AT502" s="49"/>
      <c r="AU502" s="49"/>
      <c r="AV502" s="49"/>
      <c r="AW502" s="49"/>
      <c r="AX502" s="49"/>
      <c r="AY502" s="49"/>
      <c r="AZ502" s="73">
        <f t="shared" si="116"/>
        <v>0</v>
      </c>
    </row>
    <row r="503" spans="1:53" ht="20.100000000000001" hidden="1" customHeight="1">
      <c r="A503" s="68"/>
      <c r="B503" s="69"/>
      <c r="C503" s="240" t="s">
        <v>697</v>
      </c>
      <c r="D503" s="240"/>
      <c r="E503" s="241"/>
      <c r="F503" s="70"/>
      <c r="G503" s="71"/>
      <c r="H503" s="71"/>
      <c r="I503" s="71"/>
      <c r="J503" s="240" t="s">
        <v>404</v>
      </c>
      <c r="K503" s="241"/>
      <c r="L503" s="49">
        <v>4800000</v>
      </c>
      <c r="M503" s="49">
        <v>0</v>
      </c>
      <c r="N503" s="49"/>
      <c r="O503" s="49"/>
      <c r="P503" s="49"/>
      <c r="Q503" s="49"/>
      <c r="R503" s="72"/>
      <c r="S503" s="49"/>
      <c r="T503" s="49">
        <v>0</v>
      </c>
      <c r="U503" s="49">
        <f>T503+M503</f>
        <v>0</v>
      </c>
      <c r="V503" s="49">
        <f>T503+S503</f>
        <v>0</v>
      </c>
      <c r="W503" s="49"/>
      <c r="X503" s="49"/>
      <c r="Y503" s="49"/>
      <c r="Z503" s="49"/>
      <c r="AA503" s="49">
        <v>4800000</v>
      </c>
      <c r="AB503" s="49">
        <v>4800000</v>
      </c>
      <c r="AC503" s="49">
        <f t="shared" si="118"/>
        <v>0</v>
      </c>
      <c r="AD503" s="49">
        <f>AA503+T503+M503</f>
        <v>4800000</v>
      </c>
      <c r="AE503" s="49"/>
      <c r="AF503" s="49"/>
      <c r="AG503" s="49">
        <v>4800000</v>
      </c>
      <c r="AH503" s="49"/>
      <c r="AI503" s="49"/>
      <c r="AJ503" s="49"/>
      <c r="AK503" s="49">
        <f>Z503+Y503+X503+W503+N503+AG503+AE503+AJ503+AI503+AH503</f>
        <v>4800000</v>
      </c>
      <c r="AL503" s="49">
        <f>AK503/AD503*100</f>
        <v>100</v>
      </c>
      <c r="AM503" s="49"/>
      <c r="AN503" s="49"/>
      <c r="AO503" s="49"/>
      <c r="AP503" s="49"/>
      <c r="AQ503" s="49">
        <f>AK503+AM503+AN503+AO503+AP503</f>
        <v>4800000</v>
      </c>
      <c r="AR503" s="49">
        <f>AQ503/AB503*100</f>
        <v>100</v>
      </c>
      <c r="AS503" s="49">
        <f t="shared" si="114"/>
        <v>0</v>
      </c>
      <c r="AT503" s="49">
        <v>3091500</v>
      </c>
      <c r="AU503" s="49">
        <f>AT503+U503</f>
        <v>3091500</v>
      </c>
      <c r="AV503" s="49">
        <f>AK503</f>
        <v>4800000</v>
      </c>
      <c r="AW503" s="72">
        <f>AV503/AU503*100</f>
        <v>155.26443474041727</v>
      </c>
      <c r="AX503" s="49">
        <f>AU503-AV503</f>
        <v>-1708500</v>
      </c>
      <c r="AY503" s="49">
        <f t="shared" si="115"/>
        <v>0</v>
      </c>
      <c r="AZ503" s="73">
        <f t="shared" si="116"/>
        <v>4800000</v>
      </c>
    </row>
    <row r="504" spans="1:53" ht="20.100000000000001" customHeight="1">
      <c r="A504" s="62">
        <v>32</v>
      </c>
      <c r="B504" s="63"/>
      <c r="C504" s="242" t="s">
        <v>698</v>
      </c>
      <c r="D504" s="242"/>
      <c r="E504" s="243"/>
      <c r="F504" s="64"/>
      <c r="G504" s="244" t="s">
        <v>699</v>
      </c>
      <c r="H504" s="244"/>
      <c r="I504" s="244"/>
      <c r="J504" s="244"/>
      <c r="K504" s="245"/>
      <c r="L504" s="65">
        <f>SUM(L507:L528)</f>
        <v>65500000</v>
      </c>
      <c r="M504" s="65">
        <f>SUM(M507:M528)</f>
        <v>0</v>
      </c>
      <c r="N504" s="65">
        <f>SUM(N507:N528)</f>
        <v>0</v>
      </c>
      <c r="O504" s="65">
        <f>SUM(O507:O528)</f>
        <v>0</v>
      </c>
      <c r="P504" s="65">
        <f>SUM(P507:P528)</f>
        <v>0</v>
      </c>
      <c r="Q504" s="65">
        <f>SUM(N504:P504)</f>
        <v>0</v>
      </c>
      <c r="R504" s="66"/>
      <c r="S504" s="65">
        <f>M504-Q504</f>
        <v>0</v>
      </c>
      <c r="T504" s="65">
        <f>SUM(T507:T528)</f>
        <v>65500000</v>
      </c>
      <c r="U504" s="65">
        <f>T504+M504</f>
        <v>65500000</v>
      </c>
      <c r="V504" s="65">
        <f>T504+S504</f>
        <v>65500000</v>
      </c>
      <c r="W504" s="65">
        <f>SUM(W507:W528)</f>
        <v>65449850</v>
      </c>
      <c r="X504" s="65">
        <f>SUM(X507:X528)</f>
        <v>0</v>
      </c>
      <c r="Y504" s="65">
        <f>SUM(Y507:Y528)</f>
        <v>0</v>
      </c>
      <c r="Z504" s="65"/>
      <c r="AA504" s="65">
        <f>SUM(AA507:AA528)</f>
        <v>0</v>
      </c>
      <c r="AB504" s="65">
        <f>SUM(AB507:AB528)</f>
        <v>65500000</v>
      </c>
      <c r="AC504" s="65">
        <f t="shared" si="118"/>
        <v>0</v>
      </c>
      <c r="AD504" s="65">
        <f>AA504+T504+M504</f>
        <v>65500000</v>
      </c>
      <c r="AE504" s="65">
        <f t="shared" ref="AE504:AK504" si="119">SUM(AE507:AE528)</f>
        <v>0</v>
      </c>
      <c r="AF504" s="65">
        <f t="shared" si="119"/>
        <v>0</v>
      </c>
      <c r="AG504" s="65">
        <f t="shared" si="119"/>
        <v>0</v>
      </c>
      <c r="AH504" s="65">
        <f t="shared" si="119"/>
        <v>0</v>
      </c>
      <c r="AI504" s="65">
        <f t="shared" si="119"/>
        <v>0</v>
      </c>
      <c r="AJ504" s="65">
        <f t="shared" si="119"/>
        <v>0</v>
      </c>
      <c r="AK504" s="65">
        <f t="shared" si="119"/>
        <v>65449850</v>
      </c>
      <c r="AL504" s="65">
        <f>AK504/AB504*100</f>
        <v>99.923435114503818</v>
      </c>
      <c r="AM504" s="65">
        <f>SUM(AM507:AM528)</f>
        <v>0</v>
      </c>
      <c r="AN504" s="65">
        <f>SUM(AN507:AN528)</f>
        <v>0</v>
      </c>
      <c r="AO504" s="65">
        <f>SUM(AO507:AO528)</f>
        <v>0</v>
      </c>
      <c r="AP504" s="65">
        <f>SUM(AP507:AP528)</f>
        <v>0</v>
      </c>
      <c r="AQ504" s="65">
        <f>AK504+AM504+AN504+AO504+AP504</f>
        <v>65449850</v>
      </c>
      <c r="AR504" s="65">
        <f>AQ504/AB504*100</f>
        <v>99.923435114503818</v>
      </c>
      <c r="AS504" s="65">
        <f>AB504-AQ504</f>
        <v>50150</v>
      </c>
      <c r="AT504" s="65">
        <f>SUM(AT507:AT513)</f>
        <v>12366000</v>
      </c>
      <c r="AU504" s="65">
        <f>AT504+U504</f>
        <v>77866000</v>
      </c>
      <c r="AV504" s="65">
        <f>AK504</f>
        <v>65449850</v>
      </c>
      <c r="AW504" s="66">
        <f>AV504/AU504*100</f>
        <v>84.054465363573314</v>
      </c>
      <c r="AX504" s="65">
        <f>AU504-AV504</f>
        <v>12416150</v>
      </c>
      <c r="AY504" s="65">
        <f>AS504/AB504*100</f>
        <v>7.6564885496183205E-2</v>
      </c>
      <c r="AZ504" s="67">
        <f t="shared" si="116"/>
        <v>65449850</v>
      </c>
      <c r="BA504" s="29">
        <f>AS504</f>
        <v>50150</v>
      </c>
    </row>
    <row r="505" spans="1:53" ht="20.100000000000001" hidden="1" customHeight="1">
      <c r="A505" s="68"/>
      <c r="B505" s="69"/>
      <c r="C505" s="240" t="s">
        <v>700</v>
      </c>
      <c r="D505" s="240"/>
      <c r="E505" s="241"/>
      <c r="F505" s="70"/>
      <c r="G505" s="71"/>
      <c r="H505" s="240" t="s">
        <v>10</v>
      </c>
      <c r="I505" s="240"/>
      <c r="J505" s="240"/>
      <c r="K505" s="241"/>
      <c r="L505" s="49"/>
      <c r="M505" s="49"/>
      <c r="N505" s="49"/>
      <c r="O505" s="49"/>
      <c r="P505" s="49"/>
      <c r="Q505" s="49"/>
      <c r="R505" s="72"/>
      <c r="S505" s="49"/>
      <c r="T505" s="49"/>
      <c r="U505" s="49"/>
      <c r="V505" s="49"/>
      <c r="W505" s="49"/>
      <c r="X505" s="49"/>
      <c r="Y505" s="49"/>
      <c r="Z505" s="49"/>
      <c r="AA505" s="49"/>
      <c r="AB505" s="49"/>
      <c r="AC505" s="49">
        <f t="shared" si="118"/>
        <v>0</v>
      </c>
      <c r="AD505" s="49"/>
      <c r="AE505" s="49"/>
      <c r="AF505" s="49"/>
      <c r="AG505" s="49"/>
      <c r="AH505" s="49"/>
      <c r="AI505" s="49"/>
      <c r="AJ505" s="49"/>
      <c r="AK505" s="49"/>
      <c r="AL505" s="49"/>
      <c r="AM505" s="49"/>
      <c r="AN505" s="49"/>
      <c r="AO505" s="49"/>
      <c r="AP505" s="49"/>
      <c r="AQ505" s="49"/>
      <c r="AR505" s="49"/>
      <c r="AS505" s="49"/>
      <c r="AT505" s="49"/>
      <c r="AU505" s="49"/>
      <c r="AV505" s="49"/>
      <c r="AW505" s="49"/>
      <c r="AX505" s="49"/>
      <c r="AY505" s="49"/>
      <c r="AZ505" s="73">
        <f t="shared" si="116"/>
        <v>0</v>
      </c>
    </row>
    <row r="506" spans="1:53" ht="20.100000000000001" hidden="1" customHeight="1">
      <c r="A506" s="68"/>
      <c r="B506" s="69"/>
      <c r="C506" s="240" t="s">
        <v>701</v>
      </c>
      <c r="D506" s="240"/>
      <c r="E506" s="241"/>
      <c r="F506" s="70"/>
      <c r="G506" s="71"/>
      <c r="H506" s="71"/>
      <c r="I506" s="240" t="s">
        <v>177</v>
      </c>
      <c r="J506" s="240"/>
      <c r="K506" s="241"/>
      <c r="L506" s="49"/>
      <c r="M506" s="49"/>
      <c r="N506" s="49"/>
      <c r="O506" s="49"/>
      <c r="P506" s="49"/>
      <c r="Q506" s="49"/>
      <c r="R506" s="72"/>
      <c r="S506" s="49"/>
      <c r="T506" s="49"/>
      <c r="U506" s="49"/>
      <c r="V506" s="49"/>
      <c r="W506" s="49"/>
      <c r="X506" s="49"/>
      <c r="Y506" s="49"/>
      <c r="Z506" s="49"/>
      <c r="AA506" s="49"/>
      <c r="AB506" s="49"/>
      <c r="AC506" s="49">
        <f t="shared" si="118"/>
        <v>0</v>
      </c>
      <c r="AD506" s="49"/>
      <c r="AE506" s="49"/>
      <c r="AF506" s="49"/>
      <c r="AG506" s="49"/>
      <c r="AH506" s="49"/>
      <c r="AI506" s="49"/>
      <c r="AJ506" s="49"/>
      <c r="AK506" s="49"/>
      <c r="AL506" s="49"/>
      <c r="AM506" s="49"/>
      <c r="AN506" s="49"/>
      <c r="AO506" s="49"/>
      <c r="AP506" s="49"/>
      <c r="AQ506" s="49"/>
      <c r="AR506" s="49"/>
      <c r="AS506" s="49"/>
      <c r="AT506" s="49"/>
      <c r="AU506" s="49"/>
      <c r="AV506" s="49"/>
      <c r="AW506" s="49"/>
      <c r="AX506" s="49"/>
      <c r="AY506" s="49"/>
      <c r="AZ506" s="73">
        <f t="shared" si="116"/>
        <v>0</v>
      </c>
    </row>
    <row r="507" spans="1:53" ht="20.100000000000001" hidden="1" customHeight="1">
      <c r="A507" s="68"/>
      <c r="B507" s="69"/>
      <c r="C507" s="240" t="s">
        <v>702</v>
      </c>
      <c r="D507" s="240"/>
      <c r="E507" s="241"/>
      <c r="F507" s="70"/>
      <c r="G507" s="71"/>
      <c r="H507" s="71"/>
      <c r="I507" s="71"/>
      <c r="J507" s="240" t="s">
        <v>283</v>
      </c>
      <c r="K507" s="241"/>
      <c r="L507" s="49">
        <v>6960000</v>
      </c>
      <c r="M507" s="49">
        <v>0</v>
      </c>
      <c r="N507" s="49"/>
      <c r="O507" s="49"/>
      <c r="P507" s="49"/>
      <c r="Q507" s="49">
        <f>SUM(N507:P507)</f>
        <v>0</v>
      </c>
      <c r="R507" s="72"/>
      <c r="S507" s="49">
        <f>M507-Q507</f>
        <v>0</v>
      </c>
      <c r="T507" s="49">
        <v>6960000</v>
      </c>
      <c r="U507" s="49">
        <f>T507+M507</f>
        <v>6960000</v>
      </c>
      <c r="V507" s="49">
        <f>T507+S507</f>
        <v>6960000</v>
      </c>
      <c r="W507" s="49">
        <f>3480000+3480000</f>
        <v>6960000</v>
      </c>
      <c r="X507" s="49"/>
      <c r="Y507" s="49"/>
      <c r="Z507" s="49"/>
      <c r="AA507" s="49">
        <v>0</v>
      </c>
      <c r="AB507" s="49">
        <v>6960000</v>
      </c>
      <c r="AC507" s="49">
        <f t="shared" si="118"/>
        <v>0</v>
      </c>
      <c r="AD507" s="49">
        <f>AA507+T507+M507</f>
        <v>6960000</v>
      </c>
      <c r="AE507" s="49"/>
      <c r="AF507" s="49"/>
      <c r="AG507" s="49">
        <v>0</v>
      </c>
      <c r="AH507" s="49"/>
      <c r="AI507" s="49">
        <v>0</v>
      </c>
      <c r="AJ507" s="49">
        <v>0</v>
      </c>
      <c r="AK507" s="49">
        <f>Z507+Y507+X507+W507+N507+AG507+AE507+AJ507+AI507+AH507</f>
        <v>6960000</v>
      </c>
      <c r="AL507" s="49">
        <f>AK507/AD507*100</f>
        <v>100</v>
      </c>
      <c r="AM507" s="49"/>
      <c r="AN507" s="49"/>
      <c r="AO507" s="49"/>
      <c r="AP507" s="49"/>
      <c r="AQ507" s="49">
        <f>AK507+AM507+AN507+AO507+AP507</f>
        <v>6960000</v>
      </c>
      <c r="AR507" s="49">
        <f>AQ507/AB507*100</f>
        <v>100</v>
      </c>
      <c r="AS507" s="49">
        <f t="shared" si="114"/>
        <v>0</v>
      </c>
      <c r="AT507" s="49">
        <v>3091500</v>
      </c>
      <c r="AU507" s="49">
        <f>AT507+U507</f>
        <v>10051500</v>
      </c>
      <c r="AV507" s="49">
        <f>AK507</f>
        <v>6960000</v>
      </c>
      <c r="AW507" s="72">
        <f>AV507/AU507*100</f>
        <v>69.243396507983874</v>
      </c>
      <c r="AX507" s="49">
        <f>AU507-AV507</f>
        <v>3091500</v>
      </c>
      <c r="AY507" s="49">
        <f t="shared" si="115"/>
        <v>0</v>
      </c>
      <c r="AZ507" s="73">
        <f t="shared" si="116"/>
        <v>6960000</v>
      </c>
    </row>
    <row r="508" spans="1:53" ht="20.100000000000001" hidden="1" customHeight="1">
      <c r="A508" s="68"/>
      <c r="B508" s="69"/>
      <c r="C508" s="240" t="s">
        <v>703</v>
      </c>
      <c r="D508" s="240"/>
      <c r="E508" s="241"/>
      <c r="F508" s="70"/>
      <c r="G508" s="71"/>
      <c r="H508" s="240" t="s">
        <v>143</v>
      </c>
      <c r="I508" s="240"/>
      <c r="J508" s="240"/>
      <c r="K508" s="241"/>
      <c r="L508" s="49"/>
      <c r="M508" s="49"/>
      <c r="N508" s="49"/>
      <c r="O508" s="49"/>
      <c r="P508" s="49"/>
      <c r="Q508" s="49"/>
      <c r="R508" s="72"/>
      <c r="S508" s="49"/>
      <c r="T508" s="49"/>
      <c r="U508" s="49"/>
      <c r="V508" s="49"/>
      <c r="W508" s="49"/>
      <c r="X508" s="49"/>
      <c r="Y508" s="49"/>
      <c r="Z508" s="49"/>
      <c r="AA508" s="49"/>
      <c r="AB508" s="49"/>
      <c r="AC508" s="49">
        <f t="shared" si="118"/>
        <v>0</v>
      </c>
      <c r="AD508" s="49"/>
      <c r="AE508" s="49"/>
      <c r="AF508" s="49"/>
      <c r="AG508" s="49"/>
      <c r="AH508" s="49"/>
      <c r="AI508" s="49"/>
      <c r="AJ508" s="49"/>
      <c r="AK508" s="49"/>
      <c r="AL508" s="49"/>
      <c r="AM508" s="49"/>
      <c r="AN508" s="49"/>
      <c r="AO508" s="49"/>
      <c r="AP508" s="49"/>
      <c r="AQ508" s="49"/>
      <c r="AR508" s="49"/>
      <c r="AS508" s="49"/>
      <c r="AT508" s="49"/>
      <c r="AU508" s="49"/>
      <c r="AV508" s="49"/>
      <c r="AW508" s="49"/>
      <c r="AX508" s="49"/>
      <c r="AY508" s="49"/>
      <c r="AZ508" s="73">
        <f t="shared" si="116"/>
        <v>0</v>
      </c>
    </row>
    <row r="509" spans="1:53" ht="20.100000000000001" hidden="1" customHeight="1">
      <c r="A509" s="68"/>
      <c r="B509" s="69"/>
      <c r="C509" s="240" t="s">
        <v>704</v>
      </c>
      <c r="D509" s="240"/>
      <c r="E509" s="241"/>
      <c r="F509" s="70"/>
      <c r="G509" s="71"/>
      <c r="H509" s="71"/>
      <c r="I509" s="240" t="s">
        <v>145</v>
      </c>
      <c r="J509" s="240"/>
      <c r="K509" s="241"/>
      <c r="L509" s="49"/>
      <c r="M509" s="49"/>
      <c r="N509" s="49"/>
      <c r="O509" s="49"/>
      <c r="P509" s="49"/>
      <c r="Q509" s="49"/>
      <c r="R509" s="72"/>
      <c r="S509" s="49"/>
      <c r="T509" s="49"/>
      <c r="U509" s="49"/>
      <c r="V509" s="49"/>
      <c r="W509" s="49"/>
      <c r="X509" s="49"/>
      <c r="Y509" s="49"/>
      <c r="Z509" s="49"/>
      <c r="AA509" s="49"/>
      <c r="AB509" s="49"/>
      <c r="AC509" s="49">
        <f t="shared" si="118"/>
        <v>0</v>
      </c>
      <c r="AD509" s="49"/>
      <c r="AE509" s="49"/>
      <c r="AF509" s="49"/>
      <c r="AG509" s="49"/>
      <c r="AH509" s="49"/>
      <c r="AI509" s="49"/>
      <c r="AJ509" s="49"/>
      <c r="AK509" s="49"/>
      <c r="AL509" s="49"/>
      <c r="AM509" s="49"/>
      <c r="AN509" s="49"/>
      <c r="AO509" s="49"/>
      <c r="AP509" s="49"/>
      <c r="AQ509" s="49"/>
      <c r="AR509" s="49"/>
      <c r="AS509" s="49"/>
      <c r="AT509" s="49"/>
      <c r="AU509" s="49"/>
      <c r="AV509" s="49"/>
      <c r="AW509" s="49"/>
      <c r="AX509" s="49"/>
      <c r="AY509" s="49"/>
      <c r="AZ509" s="73">
        <f t="shared" si="116"/>
        <v>0</v>
      </c>
    </row>
    <row r="510" spans="1:53" ht="20.100000000000001" hidden="1" customHeight="1">
      <c r="A510" s="68"/>
      <c r="B510" s="69"/>
      <c r="C510" s="240" t="s">
        <v>705</v>
      </c>
      <c r="D510" s="240"/>
      <c r="E510" s="241"/>
      <c r="F510" s="70"/>
      <c r="G510" s="71"/>
      <c r="H510" s="71"/>
      <c r="I510" s="71"/>
      <c r="J510" s="240" t="s">
        <v>147</v>
      </c>
      <c r="K510" s="241"/>
      <c r="L510" s="49">
        <v>552000</v>
      </c>
      <c r="M510" s="49">
        <v>0</v>
      </c>
      <c r="N510" s="49"/>
      <c r="O510" s="49"/>
      <c r="P510" s="49"/>
      <c r="Q510" s="49">
        <f>SUM(N510:P510)</f>
        <v>0</v>
      </c>
      <c r="R510" s="72"/>
      <c r="S510" s="49">
        <f>M510-Q510</f>
        <v>0</v>
      </c>
      <c r="T510" s="49">
        <v>552000</v>
      </c>
      <c r="U510" s="49">
        <f>T510+M510</f>
        <v>552000</v>
      </c>
      <c r="V510" s="49">
        <f>T510+S510</f>
        <v>552000</v>
      </c>
      <c r="W510" s="49">
        <v>552000</v>
      </c>
      <c r="X510" s="49"/>
      <c r="Y510" s="49"/>
      <c r="Z510" s="49"/>
      <c r="AA510" s="49">
        <v>0</v>
      </c>
      <c r="AB510" s="49">
        <v>552000</v>
      </c>
      <c r="AC510" s="49">
        <f t="shared" si="118"/>
        <v>0</v>
      </c>
      <c r="AD510" s="49">
        <f>AA510+T510+M510</f>
        <v>552000</v>
      </c>
      <c r="AE510" s="49"/>
      <c r="AF510" s="49"/>
      <c r="AG510" s="49">
        <v>0</v>
      </c>
      <c r="AH510" s="49"/>
      <c r="AI510" s="49">
        <v>0</v>
      </c>
      <c r="AJ510" s="49">
        <v>0</v>
      </c>
      <c r="AK510" s="49">
        <f>Z510+Y510+X510+W510+N510+AG510+AE510+AJ510+AI510+AH510</f>
        <v>552000</v>
      </c>
      <c r="AL510" s="49">
        <f>AK510/AD510*100</f>
        <v>100</v>
      </c>
      <c r="AM510" s="49"/>
      <c r="AN510" s="49"/>
      <c r="AO510" s="49"/>
      <c r="AP510" s="49"/>
      <c r="AQ510" s="49">
        <f>AK510+AM510+AN510+AO510+AP510</f>
        <v>552000</v>
      </c>
      <c r="AR510" s="49">
        <f>AQ510/AB510*100</f>
        <v>100</v>
      </c>
      <c r="AS510" s="49">
        <f t="shared" si="114"/>
        <v>0</v>
      </c>
      <c r="AT510" s="49">
        <v>3091500</v>
      </c>
      <c r="AU510" s="49">
        <f>AT510+U510</f>
        <v>3643500</v>
      </c>
      <c r="AV510" s="49">
        <f>AK510</f>
        <v>552000</v>
      </c>
      <c r="AW510" s="72">
        <f>AV510/AU510*100</f>
        <v>15.150267599835324</v>
      </c>
      <c r="AX510" s="49">
        <f>AU510-AV510</f>
        <v>3091500</v>
      </c>
      <c r="AY510" s="49">
        <f t="shared" si="115"/>
        <v>0</v>
      </c>
      <c r="AZ510" s="73">
        <f t="shared" si="116"/>
        <v>552000</v>
      </c>
    </row>
    <row r="511" spans="1:53" ht="20.100000000000001" hidden="1" customHeight="1">
      <c r="A511" s="68"/>
      <c r="B511" s="69"/>
      <c r="C511" s="240" t="s">
        <v>706</v>
      </c>
      <c r="D511" s="240"/>
      <c r="E511" s="241"/>
      <c r="F511" s="70"/>
      <c r="G511" s="71"/>
      <c r="H511" s="71"/>
      <c r="I511" s="240" t="s">
        <v>163</v>
      </c>
      <c r="J511" s="240"/>
      <c r="K511" s="241"/>
      <c r="L511" s="49"/>
      <c r="M511" s="49"/>
      <c r="N511" s="49"/>
      <c r="O511" s="49"/>
      <c r="P511" s="49"/>
      <c r="Q511" s="49"/>
      <c r="R511" s="72"/>
      <c r="S511" s="49"/>
      <c r="T511" s="49"/>
      <c r="U511" s="49"/>
      <c r="V511" s="49"/>
      <c r="W511" s="49"/>
      <c r="X511" s="49"/>
      <c r="Y511" s="49"/>
      <c r="Z511" s="49"/>
      <c r="AA511" s="49"/>
      <c r="AB511" s="49"/>
      <c r="AC511" s="49">
        <f t="shared" si="118"/>
        <v>0</v>
      </c>
      <c r="AD511" s="49"/>
      <c r="AE511" s="49"/>
      <c r="AF511" s="49"/>
      <c r="AG511" s="49"/>
      <c r="AH511" s="49"/>
      <c r="AI511" s="49"/>
      <c r="AJ511" s="49"/>
      <c r="AK511" s="49"/>
      <c r="AL511" s="49"/>
      <c r="AM511" s="49"/>
      <c r="AN511" s="49"/>
      <c r="AO511" s="49"/>
      <c r="AP511" s="49"/>
      <c r="AQ511" s="49"/>
      <c r="AR511" s="49"/>
      <c r="AS511" s="49"/>
      <c r="AT511" s="49"/>
      <c r="AU511" s="49"/>
      <c r="AV511" s="49"/>
      <c r="AW511" s="49"/>
      <c r="AX511" s="49"/>
      <c r="AY511" s="49"/>
      <c r="AZ511" s="73">
        <f t="shared" si="116"/>
        <v>0</v>
      </c>
    </row>
    <row r="512" spans="1:53" ht="20.100000000000001" hidden="1" customHeight="1">
      <c r="A512" s="68"/>
      <c r="B512" s="69"/>
      <c r="C512" s="240" t="s">
        <v>707</v>
      </c>
      <c r="D512" s="240"/>
      <c r="E512" s="241"/>
      <c r="F512" s="70"/>
      <c r="G512" s="71"/>
      <c r="H512" s="71"/>
      <c r="I512" s="71"/>
      <c r="J512" s="240" t="s">
        <v>349</v>
      </c>
      <c r="K512" s="241"/>
      <c r="L512" s="49">
        <v>1900000</v>
      </c>
      <c r="M512" s="49">
        <v>0</v>
      </c>
      <c r="N512" s="49"/>
      <c r="O512" s="49"/>
      <c r="P512" s="49"/>
      <c r="Q512" s="49"/>
      <c r="R512" s="72"/>
      <c r="S512" s="49"/>
      <c r="T512" s="49">
        <v>1900000</v>
      </c>
      <c r="U512" s="49">
        <f>T512+M512</f>
        <v>1900000</v>
      </c>
      <c r="V512" s="49">
        <f>T512+S512</f>
        <v>1900000</v>
      </c>
      <c r="W512" s="49">
        <v>1900000</v>
      </c>
      <c r="X512" s="49"/>
      <c r="Y512" s="49"/>
      <c r="Z512" s="49"/>
      <c r="AA512" s="49">
        <v>0</v>
      </c>
      <c r="AB512" s="49">
        <v>1900000</v>
      </c>
      <c r="AC512" s="49">
        <f t="shared" si="118"/>
        <v>0</v>
      </c>
      <c r="AD512" s="49">
        <f>AA512+T512+M512</f>
        <v>1900000</v>
      </c>
      <c r="AE512" s="49"/>
      <c r="AF512" s="49"/>
      <c r="AG512" s="49">
        <v>0</v>
      </c>
      <c r="AH512" s="49"/>
      <c r="AI512" s="49">
        <v>0</v>
      </c>
      <c r="AJ512" s="49">
        <v>0</v>
      </c>
      <c r="AK512" s="49">
        <f>Z512+Y512+X512+W512+N512+AG512+AE512+AJ512+AI512+AH512</f>
        <v>1900000</v>
      </c>
      <c r="AL512" s="49">
        <f>AK512/AD512*100</f>
        <v>100</v>
      </c>
      <c r="AM512" s="49"/>
      <c r="AN512" s="49"/>
      <c r="AO512" s="49"/>
      <c r="AP512" s="49"/>
      <c r="AQ512" s="49">
        <f>AK512+AM512+AN512+AO512+AP512</f>
        <v>1900000</v>
      </c>
      <c r="AR512" s="49">
        <f>AQ512/AB512*100</f>
        <v>100</v>
      </c>
      <c r="AS512" s="49">
        <f t="shared" si="114"/>
        <v>0</v>
      </c>
      <c r="AT512" s="49">
        <v>3091500</v>
      </c>
      <c r="AU512" s="49">
        <f>AT512+U512</f>
        <v>4991500</v>
      </c>
      <c r="AV512" s="49">
        <f>AK512</f>
        <v>1900000</v>
      </c>
      <c r="AW512" s="72">
        <f>AV512/AU512*100</f>
        <v>38.064710007011918</v>
      </c>
      <c r="AX512" s="49">
        <f>AU512-AV512</f>
        <v>3091500</v>
      </c>
      <c r="AY512" s="49">
        <f t="shared" si="115"/>
        <v>0</v>
      </c>
      <c r="AZ512" s="73">
        <f t="shared" si="116"/>
        <v>1900000</v>
      </c>
    </row>
    <row r="513" spans="1:52" ht="20.100000000000001" hidden="1" customHeight="1">
      <c r="A513" s="68"/>
      <c r="B513" s="69"/>
      <c r="C513" s="240" t="s">
        <v>708</v>
      </c>
      <c r="D513" s="240"/>
      <c r="E513" s="241"/>
      <c r="F513" s="70"/>
      <c r="G513" s="71"/>
      <c r="H513" s="71"/>
      <c r="I513" s="71"/>
      <c r="J513" s="240" t="s">
        <v>352</v>
      </c>
      <c r="K513" s="241"/>
      <c r="L513" s="49">
        <v>10600000</v>
      </c>
      <c r="M513" s="49">
        <v>0</v>
      </c>
      <c r="N513" s="49"/>
      <c r="O513" s="49"/>
      <c r="P513" s="49"/>
      <c r="Q513" s="49">
        <f>SUM(N513:P513)</f>
        <v>0</v>
      </c>
      <c r="R513" s="72"/>
      <c r="S513" s="49">
        <f>M513-Q513</f>
        <v>0</v>
      </c>
      <c r="T513" s="49">
        <v>10600000</v>
      </c>
      <c r="U513" s="49">
        <f>T513+M513</f>
        <v>10600000</v>
      </c>
      <c r="V513" s="49">
        <f>T513+S513</f>
        <v>10600000</v>
      </c>
      <c r="W513" s="49">
        <v>10600000</v>
      </c>
      <c r="X513" s="49"/>
      <c r="Y513" s="49"/>
      <c r="Z513" s="49"/>
      <c r="AA513" s="49">
        <v>0</v>
      </c>
      <c r="AB513" s="49">
        <v>10600000</v>
      </c>
      <c r="AC513" s="49">
        <f t="shared" si="118"/>
        <v>0</v>
      </c>
      <c r="AD513" s="49">
        <f>AA513+T513+M513</f>
        <v>10600000</v>
      </c>
      <c r="AE513" s="49"/>
      <c r="AF513" s="49"/>
      <c r="AG513" s="49">
        <v>0</v>
      </c>
      <c r="AH513" s="49"/>
      <c r="AI513" s="49">
        <v>0</v>
      </c>
      <c r="AJ513" s="49">
        <v>0</v>
      </c>
      <c r="AK513" s="49">
        <f>Z513+Y513+X513+W513+N513+AG513+AE513+AJ513+AI513+AH513</f>
        <v>10600000</v>
      </c>
      <c r="AL513" s="49">
        <f>AK513/AD513*100</f>
        <v>100</v>
      </c>
      <c r="AM513" s="49"/>
      <c r="AN513" s="49"/>
      <c r="AO513" s="49"/>
      <c r="AP513" s="49"/>
      <c r="AQ513" s="49">
        <f>AK513+AM513+AN513+AO513+AP513</f>
        <v>10600000</v>
      </c>
      <c r="AR513" s="49">
        <f>AQ513/AB513*100</f>
        <v>100</v>
      </c>
      <c r="AS513" s="49">
        <f t="shared" si="114"/>
        <v>0</v>
      </c>
      <c r="AT513" s="49">
        <v>3091500</v>
      </c>
      <c r="AU513" s="49">
        <f>AT513+U513</f>
        <v>13691500</v>
      </c>
      <c r="AV513" s="49">
        <f>AK513</f>
        <v>10600000</v>
      </c>
      <c r="AW513" s="72">
        <f>AV513/AU513*100</f>
        <v>77.420297264726287</v>
      </c>
      <c r="AX513" s="49">
        <f>AU513-AV513</f>
        <v>3091500</v>
      </c>
      <c r="AY513" s="49">
        <f t="shared" si="115"/>
        <v>0</v>
      </c>
      <c r="AZ513" s="73">
        <f t="shared" si="116"/>
        <v>10600000</v>
      </c>
    </row>
    <row r="514" spans="1:52" ht="20.100000000000001" hidden="1" customHeight="1">
      <c r="A514" s="68"/>
      <c r="B514" s="69"/>
      <c r="C514" s="240" t="s">
        <v>709</v>
      </c>
      <c r="D514" s="240"/>
      <c r="E514" s="241"/>
      <c r="F514" s="70"/>
      <c r="G514" s="71"/>
      <c r="H514" s="71"/>
      <c r="I514" s="240" t="s">
        <v>151</v>
      </c>
      <c r="J514" s="240"/>
      <c r="K514" s="241"/>
      <c r="L514" s="49"/>
      <c r="M514" s="49"/>
      <c r="N514" s="49"/>
      <c r="O514" s="49"/>
      <c r="P514" s="49"/>
      <c r="Q514" s="49"/>
      <c r="R514" s="72"/>
      <c r="S514" s="49"/>
      <c r="T514" s="49"/>
      <c r="U514" s="49"/>
      <c r="V514" s="49"/>
      <c r="W514" s="49"/>
      <c r="X514" s="49"/>
      <c r="Y514" s="49"/>
      <c r="Z514" s="49"/>
      <c r="AA514" s="49"/>
      <c r="AB514" s="49"/>
      <c r="AC514" s="49">
        <f t="shared" si="118"/>
        <v>0</v>
      </c>
      <c r="AD514" s="49"/>
      <c r="AE514" s="49"/>
      <c r="AF514" s="49"/>
      <c r="AG514" s="49"/>
      <c r="AH514" s="49"/>
      <c r="AI514" s="49"/>
      <c r="AJ514" s="49"/>
      <c r="AK514" s="49"/>
      <c r="AL514" s="49"/>
      <c r="AM514" s="49"/>
      <c r="AN514" s="49"/>
      <c r="AO514" s="49"/>
      <c r="AP514" s="49"/>
      <c r="AQ514" s="49"/>
      <c r="AR514" s="49"/>
      <c r="AS514" s="49"/>
      <c r="AT514" s="49"/>
      <c r="AU514" s="49"/>
      <c r="AV514" s="49"/>
      <c r="AW514" s="49"/>
      <c r="AX514" s="49"/>
      <c r="AY514" s="49"/>
      <c r="AZ514" s="73">
        <f t="shared" si="116"/>
        <v>0</v>
      </c>
    </row>
    <row r="515" spans="1:52" ht="20.100000000000001" hidden="1" customHeight="1">
      <c r="A515" s="68"/>
      <c r="B515" s="69"/>
      <c r="C515" s="240" t="s">
        <v>710</v>
      </c>
      <c r="D515" s="240"/>
      <c r="E515" s="241"/>
      <c r="F515" s="70"/>
      <c r="G515" s="71"/>
      <c r="H515" s="71"/>
      <c r="I515" s="71"/>
      <c r="J515" s="240" t="s">
        <v>155</v>
      </c>
      <c r="K515" s="241"/>
      <c r="L515" s="49">
        <v>1168100</v>
      </c>
      <c r="M515" s="49">
        <v>0</v>
      </c>
      <c r="N515" s="49"/>
      <c r="O515" s="49"/>
      <c r="P515" s="49"/>
      <c r="Q515" s="49">
        <f>SUM(N515:P515)</f>
        <v>0</v>
      </c>
      <c r="R515" s="72"/>
      <c r="S515" s="49">
        <f>M515-Q515</f>
        <v>0</v>
      </c>
      <c r="T515" s="49">
        <v>1168100</v>
      </c>
      <c r="U515" s="49">
        <f>T515+M515</f>
        <v>1168100</v>
      </c>
      <c r="V515" s="49">
        <f>T515+S515</f>
        <v>1168100</v>
      </c>
      <c r="W515" s="49">
        <v>1167950</v>
      </c>
      <c r="X515" s="49"/>
      <c r="Y515" s="49"/>
      <c r="Z515" s="49"/>
      <c r="AA515" s="49">
        <v>0</v>
      </c>
      <c r="AB515" s="49">
        <v>1168100</v>
      </c>
      <c r="AC515" s="49">
        <f t="shared" si="118"/>
        <v>0</v>
      </c>
      <c r="AD515" s="49">
        <f>AA515+T515+M515</f>
        <v>1168100</v>
      </c>
      <c r="AE515" s="49"/>
      <c r="AF515" s="49"/>
      <c r="AG515" s="49">
        <v>0</v>
      </c>
      <c r="AH515" s="49"/>
      <c r="AI515" s="49">
        <v>0</v>
      </c>
      <c r="AJ515" s="49">
        <v>0</v>
      </c>
      <c r="AK515" s="49">
        <f>Z515+Y515+X515+W515+N515+AG515+AE515+AJ515+AI515+AH515</f>
        <v>1167950</v>
      </c>
      <c r="AL515" s="49">
        <f>AK515/AD515*100</f>
        <v>99.987158633678618</v>
      </c>
      <c r="AM515" s="49"/>
      <c r="AN515" s="49"/>
      <c r="AO515" s="49"/>
      <c r="AP515" s="49"/>
      <c r="AQ515" s="49">
        <f>AK515+AM515+AN515+AO515+AP515</f>
        <v>1167950</v>
      </c>
      <c r="AR515" s="49">
        <f>AQ515/AB515*100</f>
        <v>99.987158633678618</v>
      </c>
      <c r="AS515" s="49">
        <f t="shared" si="114"/>
        <v>150</v>
      </c>
      <c r="AT515" s="49">
        <v>3091500</v>
      </c>
      <c r="AU515" s="49">
        <f>AT515+U515</f>
        <v>4259600</v>
      </c>
      <c r="AV515" s="49">
        <f>AK515</f>
        <v>1167950</v>
      </c>
      <c r="AW515" s="72">
        <f>AV515/AU515*100</f>
        <v>27.419241243309234</v>
      </c>
      <c r="AX515" s="49">
        <f>AU515-AV515</f>
        <v>3091650</v>
      </c>
      <c r="AY515" s="49">
        <f t="shared" si="115"/>
        <v>1.2841366321376594E-2</v>
      </c>
      <c r="AZ515" s="73">
        <f t="shared" si="116"/>
        <v>1167950</v>
      </c>
    </row>
    <row r="516" spans="1:52" ht="20.100000000000001" hidden="1" customHeight="1">
      <c r="A516" s="68"/>
      <c r="B516" s="69"/>
      <c r="C516" s="240" t="s">
        <v>711</v>
      </c>
      <c r="D516" s="240"/>
      <c r="E516" s="241"/>
      <c r="F516" s="70"/>
      <c r="G516" s="71"/>
      <c r="H516" s="71"/>
      <c r="I516" s="240" t="s">
        <v>712</v>
      </c>
      <c r="J516" s="240"/>
      <c r="K516" s="241"/>
      <c r="L516" s="49"/>
      <c r="M516" s="49"/>
      <c r="N516" s="49"/>
      <c r="O516" s="49"/>
      <c r="P516" s="49"/>
      <c r="Q516" s="49"/>
      <c r="R516" s="72"/>
      <c r="S516" s="49"/>
      <c r="T516" s="49"/>
      <c r="U516" s="49"/>
      <c r="V516" s="49"/>
      <c r="W516" s="49"/>
      <c r="X516" s="49"/>
      <c r="Y516" s="49"/>
      <c r="Z516" s="49"/>
      <c r="AA516" s="49"/>
      <c r="AB516" s="49"/>
      <c r="AC516" s="49">
        <f t="shared" si="118"/>
        <v>0</v>
      </c>
      <c r="AD516" s="49"/>
      <c r="AE516" s="49"/>
      <c r="AF516" s="49"/>
      <c r="AG516" s="49"/>
      <c r="AH516" s="49"/>
      <c r="AI516" s="49"/>
      <c r="AJ516" s="49"/>
      <c r="AK516" s="49"/>
      <c r="AL516" s="49"/>
      <c r="AM516" s="49"/>
      <c r="AN516" s="49"/>
      <c r="AO516" s="49"/>
      <c r="AP516" s="49"/>
      <c r="AQ516" s="49"/>
      <c r="AR516" s="49"/>
      <c r="AS516" s="49"/>
      <c r="AT516" s="49"/>
      <c r="AU516" s="49"/>
      <c r="AV516" s="49"/>
      <c r="AW516" s="49"/>
      <c r="AX516" s="49"/>
      <c r="AY516" s="49"/>
      <c r="AZ516" s="73">
        <f t="shared" si="116"/>
        <v>0</v>
      </c>
    </row>
    <row r="517" spans="1:52" ht="20.100000000000001" hidden="1" customHeight="1">
      <c r="A517" s="68"/>
      <c r="B517" s="69"/>
      <c r="C517" s="240" t="s">
        <v>713</v>
      </c>
      <c r="D517" s="240"/>
      <c r="E517" s="241"/>
      <c r="F517" s="70"/>
      <c r="G517" s="71"/>
      <c r="H517" s="71"/>
      <c r="I517" s="71"/>
      <c r="J517" s="240" t="s">
        <v>714</v>
      </c>
      <c r="K517" s="241"/>
      <c r="L517" s="49">
        <v>587400</v>
      </c>
      <c r="M517" s="49">
        <v>0</v>
      </c>
      <c r="N517" s="49"/>
      <c r="O517" s="49"/>
      <c r="P517" s="49"/>
      <c r="Q517" s="49">
        <f>SUM(N517:P517)</f>
        <v>0</v>
      </c>
      <c r="R517" s="72"/>
      <c r="S517" s="49">
        <f>M517-Q517</f>
        <v>0</v>
      </c>
      <c r="T517" s="49">
        <v>587400</v>
      </c>
      <c r="U517" s="49">
        <f>T517+M517</f>
        <v>587400</v>
      </c>
      <c r="V517" s="49">
        <f>T517+S517</f>
        <v>587400</v>
      </c>
      <c r="W517" s="49">
        <v>587400</v>
      </c>
      <c r="X517" s="49"/>
      <c r="Y517" s="49"/>
      <c r="Z517" s="49"/>
      <c r="AA517" s="49">
        <v>0</v>
      </c>
      <c r="AB517" s="49">
        <v>587400</v>
      </c>
      <c r="AC517" s="49">
        <f t="shared" si="118"/>
        <v>0</v>
      </c>
      <c r="AD517" s="49">
        <f>AA517+T517+M517</f>
        <v>587400</v>
      </c>
      <c r="AE517" s="49"/>
      <c r="AF517" s="49"/>
      <c r="AG517" s="49">
        <v>0</v>
      </c>
      <c r="AH517" s="49"/>
      <c r="AI517" s="49">
        <v>0</v>
      </c>
      <c r="AJ517" s="49">
        <v>0</v>
      </c>
      <c r="AK517" s="49">
        <f>Z517+Y517+X517+W517+N517+AG517+AE517+AJ517+AI517+AH517</f>
        <v>587400</v>
      </c>
      <c r="AL517" s="49">
        <f>AK517/AD517*100</f>
        <v>100</v>
      </c>
      <c r="AM517" s="49"/>
      <c r="AN517" s="49"/>
      <c r="AO517" s="49"/>
      <c r="AP517" s="49"/>
      <c r="AQ517" s="49">
        <f>AK517+AM517+AN517+AO517+AP517</f>
        <v>587400</v>
      </c>
      <c r="AR517" s="49">
        <f>AQ517/AB517*100</f>
        <v>100</v>
      </c>
      <c r="AS517" s="49">
        <f t="shared" si="114"/>
        <v>0</v>
      </c>
      <c r="AT517" s="49">
        <v>3091500</v>
      </c>
      <c r="AU517" s="49">
        <f>AT517+U517</f>
        <v>3678900</v>
      </c>
      <c r="AV517" s="49">
        <f>AK517</f>
        <v>587400</v>
      </c>
      <c r="AW517" s="72">
        <f>AV517/AU517*100</f>
        <v>15.966729185354318</v>
      </c>
      <c r="AX517" s="49">
        <f>AU517-AV517</f>
        <v>3091500</v>
      </c>
      <c r="AY517" s="49">
        <f t="shared" si="115"/>
        <v>0</v>
      </c>
      <c r="AZ517" s="73">
        <f t="shared" si="116"/>
        <v>587400</v>
      </c>
    </row>
    <row r="518" spans="1:52" ht="20.100000000000001" hidden="1" customHeight="1">
      <c r="A518" s="68"/>
      <c r="B518" s="69"/>
      <c r="C518" s="240" t="s">
        <v>715</v>
      </c>
      <c r="D518" s="240"/>
      <c r="E518" s="241"/>
      <c r="F518" s="70"/>
      <c r="G518" s="71"/>
      <c r="H518" s="71"/>
      <c r="I518" s="240" t="s">
        <v>565</v>
      </c>
      <c r="J518" s="240"/>
      <c r="K518" s="241"/>
      <c r="L518" s="49"/>
      <c r="M518" s="49"/>
      <c r="N518" s="49"/>
      <c r="O518" s="49"/>
      <c r="P518" s="49"/>
      <c r="Q518" s="49"/>
      <c r="R518" s="72"/>
      <c r="S518" s="49"/>
      <c r="T518" s="49"/>
      <c r="U518" s="49"/>
      <c r="V518" s="49"/>
      <c r="W518" s="49"/>
      <c r="X518" s="49"/>
      <c r="Y518" s="49"/>
      <c r="Z518" s="49"/>
      <c r="AA518" s="49"/>
      <c r="AB518" s="49"/>
      <c r="AC518" s="49">
        <f t="shared" si="118"/>
        <v>0</v>
      </c>
      <c r="AD518" s="49"/>
      <c r="AE518" s="49"/>
      <c r="AF518" s="49"/>
      <c r="AG518" s="49"/>
      <c r="AH518" s="49"/>
      <c r="AI518" s="49"/>
      <c r="AJ518" s="49"/>
      <c r="AK518" s="49"/>
      <c r="AL518" s="49"/>
      <c r="AM518" s="49"/>
      <c r="AN518" s="49"/>
      <c r="AO518" s="49"/>
      <c r="AP518" s="49"/>
      <c r="AQ518" s="49"/>
      <c r="AR518" s="49"/>
      <c r="AS518" s="49"/>
      <c r="AT518" s="49"/>
      <c r="AU518" s="49"/>
      <c r="AV518" s="49"/>
      <c r="AW518" s="49"/>
      <c r="AX518" s="49"/>
      <c r="AY518" s="49"/>
      <c r="AZ518" s="73">
        <f t="shared" si="116"/>
        <v>0</v>
      </c>
    </row>
    <row r="519" spans="1:52" ht="20.100000000000001" hidden="1" customHeight="1">
      <c r="A519" s="68"/>
      <c r="B519" s="69"/>
      <c r="C519" s="240" t="s">
        <v>716</v>
      </c>
      <c r="D519" s="240"/>
      <c r="E519" s="241"/>
      <c r="F519" s="70"/>
      <c r="G519" s="71"/>
      <c r="H519" s="71"/>
      <c r="I519" s="71"/>
      <c r="J519" s="240" t="s">
        <v>567</v>
      </c>
      <c r="K519" s="241"/>
      <c r="L519" s="49">
        <v>460000</v>
      </c>
      <c r="M519" s="49">
        <v>0</v>
      </c>
      <c r="N519" s="49"/>
      <c r="O519" s="49"/>
      <c r="P519" s="49"/>
      <c r="Q519" s="49">
        <f>SUM(N519:P519)</f>
        <v>0</v>
      </c>
      <c r="R519" s="72"/>
      <c r="S519" s="49">
        <f>M519-Q519</f>
        <v>0</v>
      </c>
      <c r="T519" s="49">
        <v>460000</v>
      </c>
      <c r="U519" s="49">
        <f>T519+M519</f>
        <v>460000</v>
      </c>
      <c r="V519" s="49">
        <f>T519+S519</f>
        <v>460000</v>
      </c>
      <c r="W519" s="49">
        <v>460000</v>
      </c>
      <c r="X519" s="49"/>
      <c r="Y519" s="49"/>
      <c r="Z519" s="49"/>
      <c r="AA519" s="49">
        <v>0</v>
      </c>
      <c r="AB519" s="49">
        <v>460000</v>
      </c>
      <c r="AC519" s="49">
        <f t="shared" si="118"/>
        <v>0</v>
      </c>
      <c r="AD519" s="49">
        <f>AA519+T519+M519</f>
        <v>460000</v>
      </c>
      <c r="AE519" s="49"/>
      <c r="AF519" s="49"/>
      <c r="AG519" s="49">
        <v>0</v>
      </c>
      <c r="AH519" s="49"/>
      <c r="AI519" s="49">
        <v>0</v>
      </c>
      <c r="AJ519" s="49">
        <v>0</v>
      </c>
      <c r="AK519" s="49">
        <f>Z519+Y519+X519+W519+N519+AG519+AE519+AJ519+AI519+AH519</f>
        <v>460000</v>
      </c>
      <c r="AL519" s="49">
        <f>AK519/AD519*100</f>
        <v>100</v>
      </c>
      <c r="AM519" s="49"/>
      <c r="AN519" s="49"/>
      <c r="AO519" s="49"/>
      <c r="AP519" s="49"/>
      <c r="AQ519" s="49">
        <f>AK519+AM519+AN519+AO519+AP519</f>
        <v>460000</v>
      </c>
      <c r="AR519" s="49">
        <f>AQ519/AB519*100</f>
        <v>100</v>
      </c>
      <c r="AS519" s="49">
        <f t="shared" si="114"/>
        <v>0</v>
      </c>
      <c r="AT519" s="49">
        <v>3091500</v>
      </c>
      <c r="AU519" s="49">
        <f>AT519+U519</f>
        <v>3551500</v>
      </c>
      <c r="AV519" s="49">
        <f>AK519</f>
        <v>460000</v>
      </c>
      <c r="AW519" s="72">
        <f>AV519/AU519*100</f>
        <v>12.952273687174435</v>
      </c>
      <c r="AX519" s="49">
        <f>AU519-AV519</f>
        <v>3091500</v>
      </c>
      <c r="AY519" s="49">
        <f t="shared" si="115"/>
        <v>0</v>
      </c>
      <c r="AZ519" s="73">
        <f t="shared" si="116"/>
        <v>460000</v>
      </c>
    </row>
    <row r="520" spans="1:52" ht="20.100000000000001" hidden="1" customHeight="1">
      <c r="A520" s="68"/>
      <c r="B520" s="69"/>
      <c r="C520" s="240" t="s">
        <v>717</v>
      </c>
      <c r="D520" s="240"/>
      <c r="E520" s="241"/>
      <c r="F520" s="70"/>
      <c r="G520" s="71"/>
      <c r="H520" s="71"/>
      <c r="I520" s="71"/>
      <c r="J520" s="240" t="s">
        <v>718</v>
      </c>
      <c r="K520" s="241"/>
      <c r="L520" s="49">
        <v>1165500</v>
      </c>
      <c r="M520" s="49">
        <v>0</v>
      </c>
      <c r="N520" s="49"/>
      <c r="O520" s="49"/>
      <c r="P520" s="49"/>
      <c r="Q520" s="49">
        <f>SUM(N520:P520)</f>
        <v>0</v>
      </c>
      <c r="R520" s="72"/>
      <c r="S520" s="49">
        <f>M520-Q520</f>
        <v>0</v>
      </c>
      <c r="T520" s="49">
        <v>1165500</v>
      </c>
      <c r="U520" s="49">
        <f>T520+M520</f>
        <v>1165500</v>
      </c>
      <c r="V520" s="49">
        <f>T520+S520</f>
        <v>1165500</v>
      </c>
      <c r="W520" s="49">
        <v>1165500</v>
      </c>
      <c r="X520" s="49"/>
      <c r="Y520" s="49"/>
      <c r="Z520" s="49"/>
      <c r="AA520" s="49">
        <v>0</v>
      </c>
      <c r="AB520" s="49">
        <v>1165500</v>
      </c>
      <c r="AC520" s="49">
        <f t="shared" si="118"/>
        <v>0</v>
      </c>
      <c r="AD520" s="49">
        <f>AA520+T520+M520</f>
        <v>1165500</v>
      </c>
      <c r="AE520" s="49"/>
      <c r="AF520" s="49"/>
      <c r="AG520" s="49">
        <v>0</v>
      </c>
      <c r="AH520" s="49"/>
      <c r="AI520" s="49">
        <v>0</v>
      </c>
      <c r="AJ520" s="49">
        <v>0</v>
      </c>
      <c r="AK520" s="49">
        <f>Z520+Y520+X520+W520+N520+AG520+AE520+AJ520+AI520+AH520</f>
        <v>1165500</v>
      </c>
      <c r="AL520" s="49">
        <f>AK520/AD520*100</f>
        <v>100</v>
      </c>
      <c r="AM520" s="49"/>
      <c r="AN520" s="49"/>
      <c r="AO520" s="49"/>
      <c r="AP520" s="49"/>
      <c r="AQ520" s="49">
        <f>AK520+AM520+AN520+AO520+AP520</f>
        <v>1165500</v>
      </c>
      <c r="AR520" s="49">
        <f>AQ520/AB520*100</f>
        <v>100</v>
      </c>
      <c r="AS520" s="49">
        <f t="shared" si="114"/>
        <v>0</v>
      </c>
      <c r="AT520" s="49">
        <v>3091500</v>
      </c>
      <c r="AU520" s="49">
        <f>AT520+U520</f>
        <v>4257000</v>
      </c>
      <c r="AV520" s="49">
        <f>AK520</f>
        <v>1165500</v>
      </c>
      <c r="AW520" s="72">
        <f>AV520/AU520*100</f>
        <v>27.378435517970402</v>
      </c>
      <c r="AX520" s="49">
        <f>AU520-AV520</f>
        <v>3091500</v>
      </c>
      <c r="AY520" s="49">
        <f t="shared" si="115"/>
        <v>0</v>
      </c>
      <c r="AZ520" s="73">
        <f t="shared" si="116"/>
        <v>1165500</v>
      </c>
    </row>
    <row r="521" spans="1:52" ht="20.100000000000001" hidden="1" customHeight="1">
      <c r="A521" s="68"/>
      <c r="B521" s="69"/>
      <c r="C521" s="240" t="s">
        <v>719</v>
      </c>
      <c r="D521" s="240"/>
      <c r="E521" s="241"/>
      <c r="F521" s="70"/>
      <c r="G521" s="71"/>
      <c r="H521" s="71"/>
      <c r="I521" s="71"/>
      <c r="J521" s="240" t="s">
        <v>720</v>
      </c>
      <c r="K521" s="241"/>
      <c r="L521" s="49">
        <v>5232000</v>
      </c>
      <c r="M521" s="49">
        <v>0</v>
      </c>
      <c r="N521" s="49"/>
      <c r="O521" s="49"/>
      <c r="P521" s="49"/>
      <c r="Q521" s="49">
        <f>SUM(N521:P521)</f>
        <v>0</v>
      </c>
      <c r="R521" s="72"/>
      <c r="S521" s="49">
        <f>M521-Q521</f>
        <v>0</v>
      </c>
      <c r="T521" s="49">
        <v>5232000</v>
      </c>
      <c r="U521" s="49">
        <f>T521+M521</f>
        <v>5232000</v>
      </c>
      <c r="V521" s="49">
        <f>T521+S521</f>
        <v>5232000</v>
      </c>
      <c r="W521" s="49">
        <v>5232000</v>
      </c>
      <c r="X521" s="49"/>
      <c r="Y521" s="49"/>
      <c r="Z521" s="49"/>
      <c r="AA521" s="49">
        <v>0</v>
      </c>
      <c r="AB521" s="49">
        <v>5232000</v>
      </c>
      <c r="AC521" s="49">
        <f t="shared" si="118"/>
        <v>0</v>
      </c>
      <c r="AD521" s="49">
        <f>AA521+T521+M521</f>
        <v>5232000</v>
      </c>
      <c r="AE521" s="49"/>
      <c r="AF521" s="49"/>
      <c r="AG521" s="49">
        <v>0</v>
      </c>
      <c r="AH521" s="49"/>
      <c r="AI521" s="49">
        <v>0</v>
      </c>
      <c r="AJ521" s="49">
        <v>0</v>
      </c>
      <c r="AK521" s="49">
        <f>Z521+Y521+X521+W521+N521+AG521+AE521+AJ521+AI521+AH521</f>
        <v>5232000</v>
      </c>
      <c r="AL521" s="49">
        <f>AK521/AD521*100</f>
        <v>100</v>
      </c>
      <c r="AM521" s="49"/>
      <c r="AN521" s="49"/>
      <c r="AO521" s="49"/>
      <c r="AP521" s="49"/>
      <c r="AQ521" s="49">
        <f>AK521+AM521+AN521+AO521+AP521</f>
        <v>5232000</v>
      </c>
      <c r="AR521" s="49">
        <f>AQ521/AB521*100</f>
        <v>100</v>
      </c>
      <c r="AS521" s="49">
        <f t="shared" si="114"/>
        <v>0</v>
      </c>
      <c r="AT521" s="49">
        <v>3091500</v>
      </c>
      <c r="AU521" s="49">
        <f>AT521+U521</f>
        <v>8323500</v>
      </c>
      <c r="AV521" s="49">
        <f>AK521</f>
        <v>5232000</v>
      </c>
      <c r="AW521" s="72">
        <f>AV521/AU521*100</f>
        <v>62.858172643719591</v>
      </c>
      <c r="AX521" s="49">
        <f>AU521-AV521</f>
        <v>3091500</v>
      </c>
      <c r="AY521" s="49">
        <f t="shared" si="115"/>
        <v>0</v>
      </c>
      <c r="AZ521" s="73">
        <f t="shared" si="116"/>
        <v>5232000</v>
      </c>
    </row>
    <row r="522" spans="1:52" ht="20.100000000000001" hidden="1" customHeight="1">
      <c r="A522" s="68"/>
      <c r="B522" s="69"/>
      <c r="C522" s="240" t="s">
        <v>721</v>
      </c>
      <c r="D522" s="240"/>
      <c r="E522" s="241"/>
      <c r="F522" s="70"/>
      <c r="G522" s="71"/>
      <c r="H522" s="71"/>
      <c r="I522" s="71"/>
      <c r="J522" s="240" t="s">
        <v>722</v>
      </c>
      <c r="K522" s="241"/>
      <c r="L522" s="49">
        <v>3000000</v>
      </c>
      <c r="M522" s="49">
        <v>0</v>
      </c>
      <c r="N522" s="49"/>
      <c r="O522" s="49"/>
      <c r="P522" s="49"/>
      <c r="Q522" s="49">
        <f>SUM(N522:P522)</f>
        <v>0</v>
      </c>
      <c r="R522" s="72"/>
      <c r="S522" s="49">
        <f>M522-Q522</f>
        <v>0</v>
      </c>
      <c r="T522" s="49">
        <v>3000000</v>
      </c>
      <c r="U522" s="49">
        <f>T522+M522</f>
        <v>3000000</v>
      </c>
      <c r="V522" s="49">
        <f>T522+S522</f>
        <v>3000000</v>
      </c>
      <c r="W522" s="49">
        <v>3000000</v>
      </c>
      <c r="X522" s="49"/>
      <c r="Y522" s="49"/>
      <c r="Z522" s="49"/>
      <c r="AA522" s="49">
        <v>0</v>
      </c>
      <c r="AB522" s="49">
        <v>3000000</v>
      </c>
      <c r="AC522" s="49">
        <f t="shared" si="118"/>
        <v>0</v>
      </c>
      <c r="AD522" s="49">
        <f>AA522+T522+M522</f>
        <v>3000000</v>
      </c>
      <c r="AE522" s="49"/>
      <c r="AF522" s="49"/>
      <c r="AG522" s="49">
        <v>0</v>
      </c>
      <c r="AH522" s="49"/>
      <c r="AI522" s="49">
        <v>0</v>
      </c>
      <c r="AJ522" s="49">
        <v>0</v>
      </c>
      <c r="AK522" s="49">
        <f>Z522+Y522+X522+W522+N522+AG522+AE522+AJ522+AI522+AH522</f>
        <v>3000000</v>
      </c>
      <c r="AL522" s="49">
        <f>AK522/AD522*100</f>
        <v>100</v>
      </c>
      <c r="AM522" s="49"/>
      <c r="AN522" s="49"/>
      <c r="AO522" s="49"/>
      <c r="AP522" s="49"/>
      <c r="AQ522" s="49">
        <f>AK522+AM522+AN522+AO522+AP522</f>
        <v>3000000</v>
      </c>
      <c r="AR522" s="49">
        <f>AQ522/AB522*100</f>
        <v>100</v>
      </c>
      <c r="AS522" s="49">
        <f t="shared" si="114"/>
        <v>0</v>
      </c>
      <c r="AT522" s="49">
        <v>3091500</v>
      </c>
      <c r="AU522" s="49">
        <f>AT522+U522</f>
        <v>6091500</v>
      </c>
      <c r="AV522" s="49">
        <f>AK522</f>
        <v>3000000</v>
      </c>
      <c r="AW522" s="72">
        <f>AV522/AU522*100</f>
        <v>49.248953459738978</v>
      </c>
      <c r="AX522" s="49">
        <f>AU522-AV522</f>
        <v>3091500</v>
      </c>
      <c r="AY522" s="49">
        <f t="shared" si="115"/>
        <v>0</v>
      </c>
      <c r="AZ522" s="73">
        <f t="shared" si="116"/>
        <v>3000000</v>
      </c>
    </row>
    <row r="523" spans="1:52" ht="20.100000000000001" hidden="1" customHeight="1">
      <c r="A523" s="68"/>
      <c r="B523" s="69"/>
      <c r="C523" s="240" t="s">
        <v>723</v>
      </c>
      <c r="D523" s="240"/>
      <c r="E523" s="241"/>
      <c r="F523" s="70"/>
      <c r="G523" s="71"/>
      <c r="H523" s="71"/>
      <c r="I523" s="71"/>
      <c r="J523" s="240" t="s">
        <v>569</v>
      </c>
      <c r="K523" s="241"/>
      <c r="L523" s="49">
        <v>3000000</v>
      </c>
      <c r="M523" s="49">
        <v>0</v>
      </c>
      <c r="N523" s="49"/>
      <c r="O523" s="49"/>
      <c r="P523" s="49"/>
      <c r="Q523" s="49">
        <f>SUM(N523:P523)</f>
        <v>0</v>
      </c>
      <c r="R523" s="72"/>
      <c r="S523" s="49">
        <f>M523-Q523</f>
        <v>0</v>
      </c>
      <c r="T523" s="49">
        <v>3000000</v>
      </c>
      <c r="U523" s="49">
        <f>T523+M523</f>
        <v>3000000</v>
      </c>
      <c r="V523" s="49">
        <f>T523+S523</f>
        <v>3000000</v>
      </c>
      <c r="W523" s="49">
        <v>3000000</v>
      </c>
      <c r="X523" s="49"/>
      <c r="Y523" s="49"/>
      <c r="Z523" s="49"/>
      <c r="AA523" s="49">
        <v>0</v>
      </c>
      <c r="AB523" s="49">
        <v>3000000</v>
      </c>
      <c r="AC523" s="49">
        <f t="shared" si="118"/>
        <v>0</v>
      </c>
      <c r="AD523" s="49">
        <f>AA523+T523+M523</f>
        <v>3000000</v>
      </c>
      <c r="AE523" s="49"/>
      <c r="AF523" s="49"/>
      <c r="AG523" s="49">
        <v>0</v>
      </c>
      <c r="AH523" s="49"/>
      <c r="AI523" s="49">
        <v>0</v>
      </c>
      <c r="AJ523" s="49">
        <v>0</v>
      </c>
      <c r="AK523" s="49">
        <f>Z523+Y523+X523+W523+N523+AG523+AE523+AJ523+AI523+AH523</f>
        <v>3000000</v>
      </c>
      <c r="AL523" s="49">
        <f>AK523/AD523*100</f>
        <v>100</v>
      </c>
      <c r="AM523" s="49"/>
      <c r="AN523" s="49"/>
      <c r="AO523" s="49"/>
      <c r="AP523" s="49"/>
      <c r="AQ523" s="49">
        <f>AK523+AM523+AN523+AO523+AP523</f>
        <v>3000000</v>
      </c>
      <c r="AR523" s="49">
        <f>AQ523/AB523*100</f>
        <v>100</v>
      </c>
      <c r="AS523" s="49">
        <f t="shared" si="114"/>
        <v>0</v>
      </c>
      <c r="AT523" s="49">
        <v>3091500</v>
      </c>
      <c r="AU523" s="49">
        <f>AT523+U523</f>
        <v>6091500</v>
      </c>
      <c r="AV523" s="49">
        <f>AK523</f>
        <v>3000000</v>
      </c>
      <c r="AW523" s="72">
        <f>AV523/AU523*100</f>
        <v>49.248953459738978</v>
      </c>
      <c r="AX523" s="49">
        <f>AU523-AV523</f>
        <v>3091500</v>
      </c>
      <c r="AY523" s="49">
        <f t="shared" si="115"/>
        <v>0</v>
      </c>
      <c r="AZ523" s="73">
        <f t="shared" si="116"/>
        <v>3000000</v>
      </c>
    </row>
    <row r="524" spans="1:52" ht="20.100000000000001" hidden="1" customHeight="1">
      <c r="A524" s="68"/>
      <c r="B524" s="69"/>
      <c r="C524" s="240" t="s">
        <v>724</v>
      </c>
      <c r="D524" s="240"/>
      <c r="E524" s="241"/>
      <c r="F524" s="70"/>
      <c r="G524" s="71"/>
      <c r="H524" s="71"/>
      <c r="I524" s="240" t="s">
        <v>193</v>
      </c>
      <c r="J524" s="240"/>
      <c r="K524" s="241"/>
      <c r="L524" s="49"/>
      <c r="M524" s="49"/>
      <c r="N524" s="49"/>
      <c r="O524" s="49"/>
      <c r="P524" s="49"/>
      <c r="Q524" s="49"/>
      <c r="R524" s="72"/>
      <c r="S524" s="49"/>
      <c r="T524" s="49"/>
      <c r="U524" s="49"/>
      <c r="V524" s="49"/>
      <c r="W524" s="49"/>
      <c r="X524" s="49"/>
      <c r="Y524" s="49"/>
      <c r="Z524" s="49"/>
      <c r="AA524" s="49"/>
      <c r="AB524" s="49"/>
      <c r="AC524" s="49">
        <f t="shared" si="118"/>
        <v>0</v>
      </c>
      <c r="AD524" s="49"/>
      <c r="AE524" s="49"/>
      <c r="AF524" s="49"/>
      <c r="AG524" s="49"/>
      <c r="AH524" s="49"/>
      <c r="AI524" s="49"/>
      <c r="AJ524" s="49"/>
      <c r="AK524" s="49"/>
      <c r="AL524" s="49"/>
      <c r="AM524" s="49"/>
      <c r="AN524" s="49"/>
      <c r="AO524" s="49"/>
      <c r="AP524" s="49"/>
      <c r="AQ524" s="49"/>
      <c r="AR524" s="49"/>
      <c r="AS524" s="49"/>
      <c r="AT524" s="49"/>
      <c r="AU524" s="49"/>
      <c r="AV524" s="49"/>
      <c r="AW524" s="49"/>
      <c r="AX524" s="49"/>
      <c r="AY524" s="49"/>
      <c r="AZ524" s="73">
        <f t="shared" si="116"/>
        <v>0</v>
      </c>
    </row>
    <row r="525" spans="1:52" ht="20.100000000000001" hidden="1" customHeight="1">
      <c r="A525" s="68"/>
      <c r="B525" s="69"/>
      <c r="C525" s="240" t="s">
        <v>725</v>
      </c>
      <c r="D525" s="240"/>
      <c r="E525" s="241"/>
      <c r="F525" s="70"/>
      <c r="G525" s="71"/>
      <c r="H525" s="71"/>
      <c r="I525" s="71"/>
      <c r="J525" s="240" t="s">
        <v>195</v>
      </c>
      <c r="K525" s="241"/>
      <c r="L525" s="49">
        <v>20775000</v>
      </c>
      <c r="M525" s="49">
        <v>0</v>
      </c>
      <c r="N525" s="49"/>
      <c r="O525" s="49"/>
      <c r="P525" s="49"/>
      <c r="Q525" s="49">
        <f>SUM(N525:P525)</f>
        <v>0</v>
      </c>
      <c r="R525" s="72"/>
      <c r="S525" s="49">
        <f>M525-Q525</f>
        <v>0</v>
      </c>
      <c r="T525" s="49">
        <v>20775000</v>
      </c>
      <c r="U525" s="49">
        <f>T525+M525</f>
        <v>20775000</v>
      </c>
      <c r="V525" s="49">
        <f>T525+S525</f>
        <v>20775000</v>
      </c>
      <c r="W525" s="49">
        <v>20775000</v>
      </c>
      <c r="X525" s="49"/>
      <c r="Y525" s="49"/>
      <c r="Z525" s="49"/>
      <c r="AA525" s="49">
        <v>0</v>
      </c>
      <c r="AB525" s="49">
        <v>20775000</v>
      </c>
      <c r="AC525" s="49">
        <f t="shared" si="118"/>
        <v>0</v>
      </c>
      <c r="AD525" s="49">
        <f>AA525+T525+M525</f>
        <v>20775000</v>
      </c>
      <c r="AE525" s="49"/>
      <c r="AF525" s="49"/>
      <c r="AG525" s="49">
        <v>0</v>
      </c>
      <c r="AH525" s="49"/>
      <c r="AI525" s="49">
        <v>0</v>
      </c>
      <c r="AJ525" s="49">
        <v>0</v>
      </c>
      <c r="AK525" s="49">
        <f>Z525+Y525+X525+W525+N525+AG525+AE525+AJ525+AI525+AH525</f>
        <v>20775000</v>
      </c>
      <c r="AL525" s="49">
        <f>AK525/AD525*100</f>
        <v>100</v>
      </c>
      <c r="AM525" s="49"/>
      <c r="AN525" s="49"/>
      <c r="AO525" s="49"/>
      <c r="AP525" s="49"/>
      <c r="AQ525" s="49">
        <f>AK525+AM525+AN525+AO525+AP525</f>
        <v>20775000</v>
      </c>
      <c r="AR525" s="49">
        <f>AQ525/AB525*100</f>
        <v>100</v>
      </c>
      <c r="AS525" s="49">
        <f t="shared" si="114"/>
        <v>0</v>
      </c>
      <c r="AT525" s="49">
        <v>3091500</v>
      </c>
      <c r="AU525" s="49">
        <f>AT525+U525</f>
        <v>23866500</v>
      </c>
      <c r="AV525" s="49">
        <f>AK525</f>
        <v>20775000</v>
      </c>
      <c r="AW525" s="72">
        <f>AV525/AU525*100</f>
        <v>87.046697253472445</v>
      </c>
      <c r="AX525" s="49">
        <f>AU525-AV525</f>
        <v>3091500</v>
      </c>
      <c r="AY525" s="49">
        <f t="shared" si="115"/>
        <v>0</v>
      </c>
      <c r="AZ525" s="73">
        <f t="shared" si="116"/>
        <v>20775000</v>
      </c>
    </row>
    <row r="526" spans="1:52" ht="20.100000000000001" hidden="1" customHeight="1">
      <c r="A526" s="68"/>
      <c r="B526" s="69"/>
      <c r="C526" s="240" t="s">
        <v>726</v>
      </c>
      <c r="D526" s="240"/>
      <c r="E526" s="241"/>
      <c r="F526" s="70"/>
      <c r="G526" s="71"/>
      <c r="H526" s="71"/>
      <c r="I526" s="240" t="s">
        <v>157</v>
      </c>
      <c r="J526" s="240"/>
      <c r="K526" s="241"/>
      <c r="L526" s="49"/>
      <c r="M526" s="49"/>
      <c r="N526" s="49"/>
      <c r="O526" s="49"/>
      <c r="P526" s="49"/>
      <c r="Q526" s="49"/>
      <c r="R526" s="72"/>
      <c r="S526" s="49"/>
      <c r="T526" s="49"/>
      <c r="U526" s="49"/>
      <c r="V526" s="49"/>
      <c r="W526" s="49"/>
      <c r="X526" s="49"/>
      <c r="Y526" s="49"/>
      <c r="Z526" s="49"/>
      <c r="AA526" s="49"/>
      <c r="AB526" s="49"/>
      <c r="AC526" s="49">
        <f t="shared" si="118"/>
        <v>0</v>
      </c>
      <c r="AD526" s="49"/>
      <c r="AE526" s="49"/>
      <c r="AF526" s="49"/>
      <c r="AG526" s="49"/>
      <c r="AH526" s="49"/>
      <c r="AI526" s="49"/>
      <c r="AJ526" s="49"/>
      <c r="AK526" s="49"/>
      <c r="AL526" s="49"/>
      <c r="AM526" s="49"/>
      <c r="AN526" s="49"/>
      <c r="AO526" s="49"/>
      <c r="AP526" s="49"/>
      <c r="AQ526" s="49"/>
      <c r="AR526" s="49"/>
      <c r="AS526" s="49"/>
      <c r="AT526" s="49"/>
      <c r="AU526" s="49"/>
      <c r="AV526" s="49"/>
      <c r="AW526" s="49"/>
      <c r="AX526" s="49"/>
      <c r="AY526" s="49"/>
      <c r="AZ526" s="73">
        <f t="shared" si="116"/>
        <v>0</v>
      </c>
    </row>
    <row r="527" spans="1:52" ht="20.100000000000001" hidden="1" customHeight="1">
      <c r="A527" s="68"/>
      <c r="B527" s="69"/>
      <c r="C527" s="240" t="s">
        <v>727</v>
      </c>
      <c r="D527" s="240"/>
      <c r="E527" s="241"/>
      <c r="F527" s="70"/>
      <c r="G527" s="71"/>
      <c r="H527" s="71"/>
      <c r="I527" s="71"/>
      <c r="J527" s="240" t="s">
        <v>159</v>
      </c>
      <c r="K527" s="241"/>
      <c r="L527" s="49">
        <v>4090000</v>
      </c>
      <c r="M527" s="49">
        <v>0</v>
      </c>
      <c r="N527" s="49"/>
      <c r="O527" s="49"/>
      <c r="P527" s="49"/>
      <c r="Q527" s="49">
        <f>SUM(N527:P527)</f>
        <v>0</v>
      </c>
      <c r="R527" s="72"/>
      <c r="S527" s="49">
        <f>M527-Q527</f>
        <v>0</v>
      </c>
      <c r="T527" s="49">
        <v>4090000</v>
      </c>
      <c r="U527" s="49">
        <f>T527+M527</f>
        <v>4090000</v>
      </c>
      <c r="V527" s="49">
        <f>T527+S527</f>
        <v>4090000</v>
      </c>
      <c r="W527" s="49">
        <v>4090000</v>
      </c>
      <c r="X527" s="49"/>
      <c r="Y527" s="49"/>
      <c r="Z527" s="49"/>
      <c r="AA527" s="49">
        <v>0</v>
      </c>
      <c r="AB527" s="49">
        <v>4090000</v>
      </c>
      <c r="AC527" s="49">
        <f t="shared" si="118"/>
        <v>0</v>
      </c>
      <c r="AD527" s="49">
        <f>AA527+T527+M527</f>
        <v>4090000</v>
      </c>
      <c r="AE527" s="49"/>
      <c r="AF527" s="49"/>
      <c r="AG527" s="49">
        <v>0</v>
      </c>
      <c r="AH527" s="49"/>
      <c r="AI527" s="49">
        <v>0</v>
      </c>
      <c r="AJ527" s="49">
        <v>0</v>
      </c>
      <c r="AK527" s="49">
        <f>Z527+Y527+X527+W527+N527+AG527+AE527+AJ527+AI527+AH527</f>
        <v>4090000</v>
      </c>
      <c r="AL527" s="49">
        <f>AK527/AD527*100</f>
        <v>100</v>
      </c>
      <c r="AM527" s="49"/>
      <c r="AN527" s="49"/>
      <c r="AO527" s="49"/>
      <c r="AP527" s="49"/>
      <c r="AQ527" s="49">
        <f>AK527+AM527+AN527+AO527+AP527</f>
        <v>4090000</v>
      </c>
      <c r="AR527" s="49">
        <f>AQ527/AB527*100</f>
        <v>100</v>
      </c>
      <c r="AS527" s="49">
        <f t="shared" si="114"/>
        <v>0</v>
      </c>
      <c r="AT527" s="49">
        <v>3091500</v>
      </c>
      <c r="AU527" s="49">
        <f>AT527+U527</f>
        <v>7181500</v>
      </c>
      <c r="AV527" s="49">
        <f>AK527</f>
        <v>4090000</v>
      </c>
      <c r="AW527" s="72">
        <f>AV527/AU527*100</f>
        <v>56.951890273619718</v>
      </c>
      <c r="AX527" s="49">
        <f>AU527-AV527</f>
        <v>3091500</v>
      </c>
      <c r="AY527" s="49">
        <f t="shared" si="115"/>
        <v>0</v>
      </c>
      <c r="AZ527" s="73">
        <f t="shared" si="116"/>
        <v>4090000</v>
      </c>
    </row>
    <row r="528" spans="1:52" ht="20.100000000000001" hidden="1" customHeight="1">
      <c r="A528" s="68"/>
      <c r="B528" s="69"/>
      <c r="C528" s="240" t="s">
        <v>728</v>
      </c>
      <c r="D528" s="240"/>
      <c r="E528" s="241"/>
      <c r="F528" s="70"/>
      <c r="G528" s="71"/>
      <c r="H528" s="71"/>
      <c r="I528" s="71"/>
      <c r="J528" s="240" t="s">
        <v>207</v>
      </c>
      <c r="K528" s="241"/>
      <c r="L528" s="49">
        <v>6010000</v>
      </c>
      <c r="M528" s="49">
        <v>0</v>
      </c>
      <c r="N528" s="49"/>
      <c r="O528" s="49"/>
      <c r="P528" s="49"/>
      <c r="Q528" s="49">
        <f>SUM(N528:P528)</f>
        <v>0</v>
      </c>
      <c r="R528" s="72"/>
      <c r="S528" s="49">
        <f>M528-Q528</f>
        <v>0</v>
      </c>
      <c r="T528" s="49">
        <v>6010000</v>
      </c>
      <c r="U528" s="49">
        <f>T528+M528</f>
        <v>6010000</v>
      </c>
      <c r="V528" s="49">
        <f>T528+S528</f>
        <v>6010000</v>
      </c>
      <c r="W528" s="49">
        <v>5960000</v>
      </c>
      <c r="X528" s="49"/>
      <c r="Y528" s="49"/>
      <c r="Z528" s="49"/>
      <c r="AA528" s="49">
        <v>0</v>
      </c>
      <c r="AB528" s="49">
        <v>6010000</v>
      </c>
      <c r="AC528" s="49">
        <f t="shared" si="118"/>
        <v>0</v>
      </c>
      <c r="AD528" s="49">
        <f>AA528+T528+M528</f>
        <v>6010000</v>
      </c>
      <c r="AE528" s="49"/>
      <c r="AF528" s="49"/>
      <c r="AG528" s="49">
        <v>0</v>
      </c>
      <c r="AH528" s="49"/>
      <c r="AI528" s="49">
        <v>0</v>
      </c>
      <c r="AJ528" s="49">
        <v>0</v>
      </c>
      <c r="AK528" s="49">
        <f>Z528+Y528+X528+W528+N528+AG528+AE528+AJ528+AI528+AH528</f>
        <v>5960000</v>
      </c>
      <c r="AL528" s="49">
        <f>AK528/AD528*100</f>
        <v>99.168053244592343</v>
      </c>
      <c r="AM528" s="49"/>
      <c r="AN528" s="49"/>
      <c r="AO528" s="49"/>
      <c r="AP528" s="49"/>
      <c r="AQ528" s="49">
        <f>AK528+AM528+AN528+AO528+AP528</f>
        <v>5960000</v>
      </c>
      <c r="AR528" s="49">
        <f>AQ528/AB528*100</f>
        <v>99.168053244592343</v>
      </c>
      <c r="AS528" s="49">
        <f t="shared" si="114"/>
        <v>50000</v>
      </c>
      <c r="AT528" s="49">
        <v>3091500</v>
      </c>
      <c r="AU528" s="49">
        <f>AT528+U528</f>
        <v>9101500</v>
      </c>
      <c r="AV528" s="49">
        <f>AK528</f>
        <v>5960000</v>
      </c>
      <c r="AW528" s="72">
        <f>AV528/AU528*100</f>
        <v>65.48371147613031</v>
      </c>
      <c r="AX528" s="49">
        <f>AU528-AV528</f>
        <v>3141500</v>
      </c>
      <c r="AY528" s="49">
        <f t="shared" si="115"/>
        <v>0.83194675540765384</v>
      </c>
      <c r="AZ528" s="73">
        <f t="shared" si="116"/>
        <v>5960000</v>
      </c>
    </row>
    <row r="529" spans="1:53" ht="20.100000000000001" customHeight="1">
      <c r="A529" s="62">
        <v>33</v>
      </c>
      <c r="B529" s="63"/>
      <c r="C529" s="242" t="s">
        <v>729</v>
      </c>
      <c r="D529" s="242"/>
      <c r="E529" s="243"/>
      <c r="F529" s="64"/>
      <c r="G529" s="244" t="s">
        <v>32</v>
      </c>
      <c r="H529" s="244"/>
      <c r="I529" s="244"/>
      <c r="J529" s="244"/>
      <c r="K529" s="245"/>
      <c r="L529" s="65">
        <f>SUM(L532:L547)</f>
        <v>42500000</v>
      </c>
      <c r="M529" s="65">
        <f>SUM(M532:M547)</f>
        <v>42500000</v>
      </c>
      <c r="N529" s="65">
        <f>SUM(N532:N547)</f>
        <v>42484930</v>
      </c>
      <c r="O529" s="65">
        <f>SUM(O532:O547)</f>
        <v>0</v>
      </c>
      <c r="P529" s="65">
        <f>SUM(P532:P547)</f>
        <v>0</v>
      </c>
      <c r="Q529" s="65">
        <f>SUM(N529:P529)</f>
        <v>42484930</v>
      </c>
      <c r="R529" s="66">
        <f t="shared" ref="R529:R549" si="120">Q529/M529*100</f>
        <v>99.96454117647059</v>
      </c>
      <c r="S529" s="65">
        <f>M529-Q529</f>
        <v>15070</v>
      </c>
      <c r="T529" s="65">
        <f>SUM(T532:T547)</f>
        <v>0</v>
      </c>
      <c r="U529" s="65">
        <f>T529+M529</f>
        <v>42500000</v>
      </c>
      <c r="V529" s="65">
        <f>T529+S529</f>
        <v>15070</v>
      </c>
      <c r="W529" s="65">
        <f>SUM(W532:W547)</f>
        <v>0</v>
      </c>
      <c r="X529" s="65">
        <f>SUM(X532:X547)</f>
        <v>0</v>
      </c>
      <c r="Y529" s="65">
        <f>SUM(Y532:Y547)</f>
        <v>0</v>
      </c>
      <c r="Z529" s="65"/>
      <c r="AA529" s="65">
        <f>SUM(AA532:AA547)</f>
        <v>0</v>
      </c>
      <c r="AB529" s="65">
        <f>SUM(AB532:AB547)</f>
        <v>42500000</v>
      </c>
      <c r="AC529" s="65">
        <f t="shared" si="118"/>
        <v>0</v>
      </c>
      <c r="AD529" s="65">
        <f>AA529+T529+M529</f>
        <v>42500000</v>
      </c>
      <c r="AE529" s="65">
        <f t="shared" ref="AE529:AK529" si="121">SUM(AE532:AE547)</f>
        <v>0</v>
      </c>
      <c r="AF529" s="65">
        <f t="shared" si="121"/>
        <v>0</v>
      </c>
      <c r="AG529" s="65">
        <f t="shared" si="121"/>
        <v>0</v>
      </c>
      <c r="AH529" s="65">
        <f t="shared" si="121"/>
        <v>0</v>
      </c>
      <c r="AI529" s="65">
        <f t="shared" si="121"/>
        <v>0</v>
      </c>
      <c r="AJ529" s="65">
        <f t="shared" si="121"/>
        <v>0</v>
      </c>
      <c r="AK529" s="65">
        <f t="shared" si="121"/>
        <v>42484930</v>
      </c>
      <c r="AL529" s="65">
        <f>AK529/AB529*100</f>
        <v>99.96454117647059</v>
      </c>
      <c r="AM529" s="65">
        <f>SUM(AM532:AM547)</f>
        <v>0</v>
      </c>
      <c r="AN529" s="65">
        <f>SUM(AN532:AN547)</f>
        <v>0</v>
      </c>
      <c r="AO529" s="65">
        <f>SUM(AO532:AO547)</f>
        <v>0</v>
      </c>
      <c r="AP529" s="65">
        <f>SUM(AP532:AP547)</f>
        <v>0</v>
      </c>
      <c r="AQ529" s="65">
        <f>AK529+AM529+AN529+AO529+AP529</f>
        <v>42484930</v>
      </c>
      <c r="AR529" s="65">
        <f>AQ529/AB529*100</f>
        <v>99.96454117647059</v>
      </c>
      <c r="AS529" s="65">
        <f>AB529-AQ529</f>
        <v>15070</v>
      </c>
      <c r="AT529" s="65">
        <f>SUM(AT532:AT538)</f>
        <v>12366000</v>
      </c>
      <c r="AU529" s="65">
        <f>AT529+U529</f>
        <v>54866000</v>
      </c>
      <c r="AV529" s="65">
        <f>AK529</f>
        <v>42484930</v>
      </c>
      <c r="AW529" s="66">
        <f>AV529/AU529*100</f>
        <v>77.433984617067026</v>
      </c>
      <c r="AX529" s="65">
        <f>AU529-AV529</f>
        <v>12381070</v>
      </c>
      <c r="AY529" s="65">
        <f>AS529/AB529*100</f>
        <v>3.5458823529411765E-2</v>
      </c>
      <c r="AZ529" s="67">
        <f t="shared" si="116"/>
        <v>42484930</v>
      </c>
      <c r="BA529" s="29">
        <f>AS529</f>
        <v>15070</v>
      </c>
    </row>
    <row r="530" spans="1:53" ht="20.100000000000001" hidden="1" customHeight="1">
      <c r="A530" s="68"/>
      <c r="B530" s="69"/>
      <c r="C530" s="240" t="s">
        <v>730</v>
      </c>
      <c r="D530" s="240"/>
      <c r="E530" s="241"/>
      <c r="F530" s="70"/>
      <c r="G530" s="71"/>
      <c r="H530" s="240" t="s">
        <v>10</v>
      </c>
      <c r="I530" s="240"/>
      <c r="J530" s="240"/>
      <c r="K530" s="241"/>
      <c r="L530" s="49"/>
      <c r="M530" s="49"/>
      <c r="N530" s="49"/>
      <c r="O530" s="49"/>
      <c r="P530" s="49"/>
      <c r="Q530" s="49"/>
      <c r="R530" s="72"/>
      <c r="S530" s="49"/>
      <c r="T530" s="49">
        <v>0</v>
      </c>
      <c r="U530" s="49"/>
      <c r="V530" s="49"/>
      <c r="W530" s="49"/>
      <c r="X530" s="49"/>
      <c r="Y530" s="49"/>
      <c r="Z530" s="49"/>
      <c r="AA530" s="49">
        <v>0</v>
      </c>
      <c r="AB530" s="49"/>
      <c r="AC530" s="49">
        <f t="shared" si="118"/>
        <v>0</v>
      </c>
      <c r="AD530" s="49"/>
      <c r="AE530" s="49"/>
      <c r="AF530" s="49"/>
      <c r="AG530" s="49"/>
      <c r="AH530" s="49"/>
      <c r="AI530" s="49"/>
      <c r="AJ530" s="49"/>
      <c r="AK530" s="49"/>
      <c r="AL530" s="49"/>
      <c r="AM530" s="49"/>
      <c r="AN530" s="49"/>
      <c r="AO530" s="49"/>
      <c r="AP530" s="49"/>
      <c r="AQ530" s="49"/>
      <c r="AR530" s="49"/>
      <c r="AS530" s="49"/>
      <c r="AT530" s="49"/>
      <c r="AU530" s="49"/>
      <c r="AV530" s="49"/>
      <c r="AW530" s="49"/>
      <c r="AX530" s="49"/>
      <c r="AY530" s="49"/>
      <c r="AZ530" s="73">
        <f t="shared" si="116"/>
        <v>0</v>
      </c>
    </row>
    <row r="531" spans="1:53" ht="20.100000000000001" hidden="1" customHeight="1">
      <c r="A531" s="68"/>
      <c r="B531" s="69"/>
      <c r="C531" s="240" t="s">
        <v>731</v>
      </c>
      <c r="D531" s="240"/>
      <c r="E531" s="241"/>
      <c r="F531" s="70"/>
      <c r="G531" s="71"/>
      <c r="H531" s="71"/>
      <c r="I531" s="240" t="s">
        <v>177</v>
      </c>
      <c r="J531" s="240"/>
      <c r="K531" s="241"/>
      <c r="L531" s="49"/>
      <c r="M531" s="49"/>
      <c r="N531" s="49"/>
      <c r="O531" s="49"/>
      <c r="P531" s="49"/>
      <c r="Q531" s="49"/>
      <c r="R531" s="72"/>
      <c r="S531" s="49"/>
      <c r="T531" s="49">
        <v>0</v>
      </c>
      <c r="U531" s="49"/>
      <c r="V531" s="49"/>
      <c r="W531" s="49"/>
      <c r="X531" s="49"/>
      <c r="Y531" s="49"/>
      <c r="Z531" s="49"/>
      <c r="AA531" s="49">
        <v>0</v>
      </c>
      <c r="AB531" s="49"/>
      <c r="AC531" s="49">
        <f t="shared" si="118"/>
        <v>0</v>
      </c>
      <c r="AD531" s="49"/>
      <c r="AE531" s="49"/>
      <c r="AF531" s="49"/>
      <c r="AG531" s="49"/>
      <c r="AH531" s="49"/>
      <c r="AI531" s="49"/>
      <c r="AJ531" s="49"/>
      <c r="AK531" s="49"/>
      <c r="AL531" s="49"/>
      <c r="AM531" s="49"/>
      <c r="AN531" s="49"/>
      <c r="AO531" s="49"/>
      <c r="AP531" s="49"/>
      <c r="AQ531" s="49"/>
      <c r="AR531" s="49"/>
      <c r="AS531" s="49"/>
      <c r="AT531" s="49"/>
      <c r="AU531" s="49"/>
      <c r="AV531" s="49"/>
      <c r="AW531" s="49"/>
      <c r="AX531" s="49"/>
      <c r="AY531" s="49"/>
      <c r="AZ531" s="73">
        <f t="shared" si="116"/>
        <v>0</v>
      </c>
    </row>
    <row r="532" spans="1:53" ht="20.100000000000001" hidden="1" customHeight="1">
      <c r="A532" s="68"/>
      <c r="B532" s="69"/>
      <c r="C532" s="240" t="s">
        <v>732</v>
      </c>
      <c r="D532" s="240"/>
      <c r="E532" s="241"/>
      <c r="F532" s="70"/>
      <c r="G532" s="71"/>
      <c r="H532" s="71"/>
      <c r="I532" s="71"/>
      <c r="J532" s="240" t="s">
        <v>283</v>
      </c>
      <c r="K532" s="241"/>
      <c r="L532" s="49">
        <v>2680000</v>
      </c>
      <c r="M532" s="49">
        <v>2680000</v>
      </c>
      <c r="N532" s="49">
        <v>2680000</v>
      </c>
      <c r="O532" s="49"/>
      <c r="P532" s="49"/>
      <c r="Q532" s="49">
        <f>SUM(N532:P532)</f>
        <v>2680000</v>
      </c>
      <c r="R532" s="72">
        <f t="shared" si="120"/>
        <v>100</v>
      </c>
      <c r="S532" s="49">
        <f>M532-Q532</f>
        <v>0</v>
      </c>
      <c r="T532" s="49">
        <v>0</v>
      </c>
      <c r="U532" s="49">
        <f>T532+M532</f>
        <v>2680000</v>
      </c>
      <c r="V532" s="49">
        <f>T532+S532</f>
        <v>0</v>
      </c>
      <c r="W532" s="49"/>
      <c r="X532" s="49"/>
      <c r="Y532" s="49"/>
      <c r="Z532" s="49"/>
      <c r="AA532" s="49">
        <v>0</v>
      </c>
      <c r="AB532" s="49">
        <v>2680000</v>
      </c>
      <c r="AC532" s="49">
        <f t="shared" si="118"/>
        <v>0</v>
      </c>
      <c r="AD532" s="49">
        <f>AA532+T532+M532</f>
        <v>2680000</v>
      </c>
      <c r="AE532" s="49"/>
      <c r="AF532" s="49"/>
      <c r="AG532" s="49"/>
      <c r="AH532" s="49"/>
      <c r="AI532" s="49"/>
      <c r="AJ532" s="49"/>
      <c r="AK532" s="49">
        <f>Z532+Y532+X532+W532+N532+AG532+AE532+AJ532+AI532+AH532</f>
        <v>2680000</v>
      </c>
      <c r="AL532" s="49">
        <f>AK532/AD532*100</f>
        <v>100</v>
      </c>
      <c r="AM532" s="49"/>
      <c r="AN532" s="49"/>
      <c r="AO532" s="49"/>
      <c r="AP532" s="49"/>
      <c r="AQ532" s="49">
        <f>AK532+AM532+AN532+AO532+AP532</f>
        <v>2680000</v>
      </c>
      <c r="AR532" s="49">
        <f>AQ532/AB532*100</f>
        <v>100</v>
      </c>
      <c r="AS532" s="49">
        <f t="shared" si="114"/>
        <v>0</v>
      </c>
      <c r="AT532" s="49">
        <v>3091500</v>
      </c>
      <c r="AU532" s="49">
        <f t="shared" ref="AU532:AU547" si="122">AT532+U532</f>
        <v>5771500</v>
      </c>
      <c r="AV532" s="49">
        <f t="shared" ref="AV532:AV547" si="123">AK532</f>
        <v>2680000</v>
      </c>
      <c r="AW532" s="72">
        <f t="shared" ref="AW532:AW547" si="124">AV532/AU532*100</f>
        <v>46.435068872909987</v>
      </c>
      <c r="AX532" s="49">
        <f t="shared" ref="AX532:AX547" si="125">AU532-AV532</f>
        <v>3091500</v>
      </c>
      <c r="AY532" s="49">
        <f t="shared" si="115"/>
        <v>0</v>
      </c>
      <c r="AZ532" s="73">
        <f t="shared" si="116"/>
        <v>2680000</v>
      </c>
    </row>
    <row r="533" spans="1:53" ht="20.100000000000001" hidden="1" customHeight="1">
      <c r="A533" s="68"/>
      <c r="B533" s="69"/>
      <c r="C533" s="240" t="s">
        <v>733</v>
      </c>
      <c r="D533" s="240"/>
      <c r="E533" s="241"/>
      <c r="F533" s="70"/>
      <c r="G533" s="71"/>
      <c r="H533" s="240" t="s">
        <v>143</v>
      </c>
      <c r="I533" s="240"/>
      <c r="J533" s="240"/>
      <c r="K533" s="241"/>
      <c r="L533" s="49"/>
      <c r="M533" s="49"/>
      <c r="N533" s="49"/>
      <c r="O533" s="49"/>
      <c r="P533" s="49"/>
      <c r="Q533" s="49"/>
      <c r="R533" s="72"/>
      <c r="S533" s="49"/>
      <c r="T533" s="49">
        <v>0</v>
      </c>
      <c r="U533" s="49"/>
      <c r="V533" s="49"/>
      <c r="W533" s="49"/>
      <c r="X533" s="49"/>
      <c r="Y533" s="49"/>
      <c r="Z533" s="49"/>
      <c r="AA533" s="49">
        <v>0</v>
      </c>
      <c r="AB533" s="49"/>
      <c r="AC533" s="49">
        <f t="shared" si="118"/>
        <v>0</v>
      </c>
      <c r="AD533" s="49"/>
      <c r="AE533" s="49"/>
      <c r="AF533" s="49"/>
      <c r="AG533" s="49"/>
      <c r="AH533" s="49"/>
      <c r="AI533" s="49"/>
      <c r="AJ533" s="49"/>
      <c r="AK533" s="49"/>
      <c r="AL533" s="49"/>
      <c r="AM533" s="49"/>
      <c r="AN533" s="49"/>
      <c r="AO533" s="49"/>
      <c r="AP533" s="49"/>
      <c r="AQ533" s="49"/>
      <c r="AR533" s="49"/>
      <c r="AS533" s="49"/>
      <c r="AT533" s="49"/>
      <c r="AU533" s="49"/>
      <c r="AV533" s="49"/>
      <c r="AW533" s="49"/>
      <c r="AX533" s="49"/>
      <c r="AY533" s="49"/>
      <c r="AZ533" s="73">
        <f t="shared" si="116"/>
        <v>0</v>
      </c>
    </row>
    <row r="534" spans="1:53" ht="20.100000000000001" hidden="1" customHeight="1">
      <c r="A534" s="68"/>
      <c r="B534" s="69"/>
      <c r="C534" s="240" t="s">
        <v>734</v>
      </c>
      <c r="D534" s="240"/>
      <c r="E534" s="241"/>
      <c r="F534" s="70"/>
      <c r="G534" s="71"/>
      <c r="H534" s="71"/>
      <c r="I534" s="240" t="s">
        <v>145</v>
      </c>
      <c r="J534" s="240"/>
      <c r="K534" s="241"/>
      <c r="L534" s="49"/>
      <c r="M534" s="49"/>
      <c r="N534" s="49"/>
      <c r="O534" s="49"/>
      <c r="P534" s="49"/>
      <c r="Q534" s="49"/>
      <c r="R534" s="72"/>
      <c r="S534" s="49"/>
      <c r="T534" s="49">
        <v>0</v>
      </c>
      <c r="U534" s="49"/>
      <c r="V534" s="49"/>
      <c r="W534" s="49"/>
      <c r="X534" s="49"/>
      <c r="Y534" s="49"/>
      <c r="Z534" s="49"/>
      <c r="AA534" s="49">
        <v>0</v>
      </c>
      <c r="AB534" s="49"/>
      <c r="AC534" s="49">
        <f t="shared" si="118"/>
        <v>0</v>
      </c>
      <c r="AD534" s="49"/>
      <c r="AE534" s="49"/>
      <c r="AF534" s="49"/>
      <c r="AG534" s="49"/>
      <c r="AH534" s="49"/>
      <c r="AI534" s="49"/>
      <c r="AJ534" s="49"/>
      <c r="AK534" s="49"/>
      <c r="AL534" s="49"/>
      <c r="AM534" s="49"/>
      <c r="AN534" s="49"/>
      <c r="AO534" s="49"/>
      <c r="AP534" s="49"/>
      <c r="AQ534" s="49"/>
      <c r="AR534" s="49"/>
      <c r="AS534" s="49"/>
      <c r="AT534" s="49"/>
      <c r="AU534" s="49"/>
      <c r="AV534" s="49"/>
      <c r="AW534" s="49"/>
      <c r="AX534" s="49"/>
      <c r="AY534" s="49"/>
      <c r="AZ534" s="73">
        <f t="shared" si="116"/>
        <v>0</v>
      </c>
    </row>
    <row r="535" spans="1:53" ht="20.100000000000001" hidden="1" customHeight="1">
      <c r="A535" s="68"/>
      <c r="B535" s="69"/>
      <c r="C535" s="240" t="s">
        <v>735</v>
      </c>
      <c r="D535" s="240"/>
      <c r="E535" s="241"/>
      <c r="F535" s="70"/>
      <c r="G535" s="71"/>
      <c r="H535" s="71"/>
      <c r="I535" s="71"/>
      <c r="J535" s="240" t="s">
        <v>147</v>
      </c>
      <c r="K535" s="241"/>
      <c r="L535" s="49">
        <v>1585000</v>
      </c>
      <c r="M535" s="49">
        <v>1585000</v>
      </c>
      <c r="N535" s="49">
        <v>1584955</v>
      </c>
      <c r="O535" s="49"/>
      <c r="P535" s="49"/>
      <c r="Q535" s="49">
        <f>SUM(N535:P535)</f>
        <v>1584955</v>
      </c>
      <c r="R535" s="72">
        <f t="shared" si="120"/>
        <v>99.997160883280756</v>
      </c>
      <c r="S535" s="49">
        <f>M535-Q535</f>
        <v>45</v>
      </c>
      <c r="T535" s="49">
        <v>0</v>
      </c>
      <c r="U535" s="49">
        <f>T535+M535</f>
        <v>1585000</v>
      </c>
      <c r="V535" s="49">
        <f>T535+S535</f>
        <v>45</v>
      </c>
      <c r="W535" s="49"/>
      <c r="X535" s="49"/>
      <c r="Y535" s="49"/>
      <c r="Z535" s="49"/>
      <c r="AA535" s="49">
        <v>0</v>
      </c>
      <c r="AB535" s="49">
        <v>1585000</v>
      </c>
      <c r="AC535" s="49">
        <f t="shared" si="118"/>
        <v>0</v>
      </c>
      <c r="AD535" s="49">
        <f>AA535+T535+M535</f>
        <v>1585000</v>
      </c>
      <c r="AE535" s="49"/>
      <c r="AF535" s="49"/>
      <c r="AG535" s="49"/>
      <c r="AH535" s="49"/>
      <c r="AI535" s="49"/>
      <c r="AJ535" s="49"/>
      <c r="AK535" s="49">
        <f>Z535+Y535+X535+W535+N535+AG535+AE535+AJ535+AI535+AH535</f>
        <v>1584955</v>
      </c>
      <c r="AL535" s="49">
        <f>AK535/AD535*100</f>
        <v>99.997160883280756</v>
      </c>
      <c r="AM535" s="49"/>
      <c r="AN535" s="49"/>
      <c r="AO535" s="49"/>
      <c r="AP535" s="49"/>
      <c r="AQ535" s="49">
        <f>AK535+AM535+AN535+AO535+AP535</f>
        <v>1584955</v>
      </c>
      <c r="AR535" s="49">
        <f>AQ535/AB535*100</f>
        <v>99.997160883280756</v>
      </c>
      <c r="AS535" s="49">
        <f t="shared" si="114"/>
        <v>45</v>
      </c>
      <c r="AT535" s="49">
        <v>3091500</v>
      </c>
      <c r="AU535" s="49">
        <f t="shared" si="122"/>
        <v>4676500</v>
      </c>
      <c r="AV535" s="49">
        <f t="shared" si="123"/>
        <v>1584955</v>
      </c>
      <c r="AW535" s="72">
        <f t="shared" si="124"/>
        <v>33.891906340211698</v>
      </c>
      <c r="AX535" s="49">
        <f t="shared" si="125"/>
        <v>3091545</v>
      </c>
      <c r="AY535" s="49">
        <f t="shared" si="115"/>
        <v>2.8391167192429023E-3</v>
      </c>
      <c r="AZ535" s="73">
        <f t="shared" si="116"/>
        <v>1584955</v>
      </c>
    </row>
    <row r="536" spans="1:53" ht="20.100000000000001" hidden="1" customHeight="1">
      <c r="A536" s="68"/>
      <c r="B536" s="69"/>
      <c r="C536" s="240" t="s">
        <v>736</v>
      </c>
      <c r="D536" s="240"/>
      <c r="E536" s="241"/>
      <c r="F536" s="70"/>
      <c r="G536" s="71"/>
      <c r="H536" s="71"/>
      <c r="I536" s="240" t="s">
        <v>163</v>
      </c>
      <c r="J536" s="240"/>
      <c r="K536" s="241"/>
      <c r="L536" s="49"/>
      <c r="M536" s="49"/>
      <c r="N536" s="49"/>
      <c r="O536" s="49"/>
      <c r="P536" s="49"/>
      <c r="Q536" s="49"/>
      <c r="R536" s="72"/>
      <c r="S536" s="49"/>
      <c r="T536" s="49">
        <v>0</v>
      </c>
      <c r="U536" s="49"/>
      <c r="V536" s="49"/>
      <c r="W536" s="49"/>
      <c r="X536" s="49"/>
      <c r="Y536" s="49"/>
      <c r="Z536" s="49"/>
      <c r="AA536" s="49">
        <v>0</v>
      </c>
      <c r="AB536" s="49"/>
      <c r="AC536" s="49">
        <f t="shared" si="118"/>
        <v>0</v>
      </c>
      <c r="AD536" s="49"/>
      <c r="AE536" s="49"/>
      <c r="AF536" s="49"/>
      <c r="AG536" s="49"/>
      <c r="AH536" s="49"/>
      <c r="AI536" s="49"/>
      <c r="AJ536" s="49"/>
      <c r="AK536" s="49"/>
      <c r="AL536" s="49"/>
      <c r="AM536" s="49"/>
      <c r="AN536" s="49"/>
      <c r="AO536" s="49"/>
      <c r="AP536" s="49"/>
      <c r="AQ536" s="49"/>
      <c r="AR536" s="49"/>
      <c r="AS536" s="49"/>
      <c r="AT536" s="49"/>
      <c r="AU536" s="49"/>
      <c r="AV536" s="49"/>
      <c r="AW536" s="49"/>
      <c r="AX536" s="49"/>
      <c r="AY536" s="49"/>
      <c r="AZ536" s="73">
        <f t="shared" si="116"/>
        <v>0</v>
      </c>
    </row>
    <row r="537" spans="1:53" ht="20.100000000000001" hidden="1" customHeight="1">
      <c r="A537" s="68"/>
      <c r="B537" s="69"/>
      <c r="C537" s="240" t="s">
        <v>737</v>
      </c>
      <c r="D537" s="240"/>
      <c r="E537" s="241"/>
      <c r="F537" s="70"/>
      <c r="G537" s="71"/>
      <c r="H537" s="71"/>
      <c r="I537" s="71"/>
      <c r="J537" s="240" t="s">
        <v>349</v>
      </c>
      <c r="K537" s="241"/>
      <c r="L537" s="49">
        <v>600000</v>
      </c>
      <c r="M537" s="49">
        <v>600000</v>
      </c>
      <c r="N537" s="49">
        <v>600000</v>
      </c>
      <c r="O537" s="49"/>
      <c r="P537" s="49"/>
      <c r="Q537" s="49">
        <f>SUM(N537:P537)</f>
        <v>600000</v>
      </c>
      <c r="R537" s="72">
        <f t="shared" si="120"/>
        <v>100</v>
      </c>
      <c r="S537" s="49">
        <f>M537-Q537</f>
        <v>0</v>
      </c>
      <c r="T537" s="49">
        <v>0</v>
      </c>
      <c r="U537" s="49">
        <f>T537+M537</f>
        <v>600000</v>
      </c>
      <c r="V537" s="49">
        <f>T537+S537</f>
        <v>0</v>
      </c>
      <c r="W537" s="49"/>
      <c r="X537" s="49"/>
      <c r="Y537" s="49"/>
      <c r="Z537" s="49"/>
      <c r="AA537" s="49">
        <v>0</v>
      </c>
      <c r="AB537" s="49">
        <v>600000</v>
      </c>
      <c r="AC537" s="49">
        <f t="shared" si="118"/>
        <v>0</v>
      </c>
      <c r="AD537" s="49">
        <f>AA537+T537+M537</f>
        <v>600000</v>
      </c>
      <c r="AE537" s="49"/>
      <c r="AF537" s="49"/>
      <c r="AG537" s="49"/>
      <c r="AH537" s="49"/>
      <c r="AI537" s="49"/>
      <c r="AJ537" s="49"/>
      <c r="AK537" s="49">
        <f>Z537+Y537+X537+W537+N537+AG537+AE537+AJ537+AI537+AH537</f>
        <v>600000</v>
      </c>
      <c r="AL537" s="49">
        <f>AK537/AD537*100</f>
        <v>100</v>
      </c>
      <c r="AM537" s="49"/>
      <c r="AN537" s="49"/>
      <c r="AO537" s="49"/>
      <c r="AP537" s="49"/>
      <c r="AQ537" s="49">
        <f>AK537+AM537+AN537+AO537+AP537</f>
        <v>600000</v>
      </c>
      <c r="AR537" s="49">
        <f>AQ537/AB537*100</f>
        <v>100</v>
      </c>
      <c r="AS537" s="49">
        <f t="shared" si="114"/>
        <v>0</v>
      </c>
      <c r="AT537" s="49">
        <v>3091500</v>
      </c>
      <c r="AU537" s="49">
        <f t="shared" si="122"/>
        <v>3691500</v>
      </c>
      <c r="AV537" s="49">
        <f t="shared" si="123"/>
        <v>600000</v>
      </c>
      <c r="AW537" s="72">
        <f t="shared" si="124"/>
        <v>16.253555465258025</v>
      </c>
      <c r="AX537" s="49">
        <f t="shared" si="125"/>
        <v>3091500</v>
      </c>
      <c r="AY537" s="49">
        <f t="shared" si="115"/>
        <v>0</v>
      </c>
      <c r="AZ537" s="73">
        <f t="shared" si="116"/>
        <v>600000</v>
      </c>
    </row>
    <row r="538" spans="1:53" ht="20.100000000000001" hidden="1" customHeight="1">
      <c r="A538" s="68"/>
      <c r="B538" s="69"/>
      <c r="C538" s="240" t="s">
        <v>738</v>
      </c>
      <c r="D538" s="240"/>
      <c r="E538" s="241"/>
      <c r="F538" s="70"/>
      <c r="G538" s="71"/>
      <c r="H538" s="71"/>
      <c r="I538" s="71"/>
      <c r="J538" s="240" t="s">
        <v>352</v>
      </c>
      <c r="K538" s="241"/>
      <c r="L538" s="49">
        <v>8000000</v>
      </c>
      <c r="M538" s="49">
        <v>8000000</v>
      </c>
      <c r="N538" s="49">
        <v>8000000</v>
      </c>
      <c r="O538" s="49"/>
      <c r="P538" s="49"/>
      <c r="Q538" s="49">
        <f>SUM(N538:P538)</f>
        <v>8000000</v>
      </c>
      <c r="R538" s="72">
        <f t="shared" si="120"/>
        <v>100</v>
      </c>
      <c r="S538" s="49">
        <f>M538-Q538</f>
        <v>0</v>
      </c>
      <c r="T538" s="49">
        <v>0</v>
      </c>
      <c r="U538" s="49">
        <f>T538+M538</f>
        <v>8000000</v>
      </c>
      <c r="V538" s="49">
        <f>T538+S538</f>
        <v>0</v>
      </c>
      <c r="W538" s="49"/>
      <c r="X538" s="49"/>
      <c r="Y538" s="49"/>
      <c r="Z538" s="49"/>
      <c r="AA538" s="49">
        <v>0</v>
      </c>
      <c r="AB538" s="49">
        <v>8000000</v>
      </c>
      <c r="AC538" s="49">
        <f t="shared" si="118"/>
        <v>0</v>
      </c>
      <c r="AD538" s="49">
        <f>AA538+T538+M538</f>
        <v>8000000</v>
      </c>
      <c r="AE538" s="49"/>
      <c r="AF538" s="49"/>
      <c r="AG538" s="49"/>
      <c r="AH538" s="49"/>
      <c r="AI538" s="49"/>
      <c r="AJ538" s="49"/>
      <c r="AK538" s="49">
        <f>Z538+Y538+X538+W538+N538+AG538+AE538+AJ538+AI538+AH538</f>
        <v>8000000</v>
      </c>
      <c r="AL538" s="49">
        <f>AK538/AD538*100</f>
        <v>100</v>
      </c>
      <c r="AM538" s="49"/>
      <c r="AN538" s="49"/>
      <c r="AO538" s="49"/>
      <c r="AP538" s="49"/>
      <c r="AQ538" s="49">
        <f>AK538+AM538+AN538+AO538+AP538</f>
        <v>8000000</v>
      </c>
      <c r="AR538" s="49">
        <f>AQ538/AB538*100</f>
        <v>100</v>
      </c>
      <c r="AS538" s="49">
        <f t="shared" si="114"/>
        <v>0</v>
      </c>
      <c r="AT538" s="49">
        <v>3091500</v>
      </c>
      <c r="AU538" s="49">
        <f t="shared" si="122"/>
        <v>11091500</v>
      </c>
      <c r="AV538" s="49">
        <f t="shared" si="123"/>
        <v>8000000</v>
      </c>
      <c r="AW538" s="72">
        <f t="shared" si="124"/>
        <v>72.127304692782758</v>
      </c>
      <c r="AX538" s="49">
        <f t="shared" si="125"/>
        <v>3091500</v>
      </c>
      <c r="AY538" s="49">
        <f t="shared" si="115"/>
        <v>0</v>
      </c>
      <c r="AZ538" s="73">
        <f t="shared" si="116"/>
        <v>8000000</v>
      </c>
    </row>
    <row r="539" spans="1:53" ht="20.100000000000001" hidden="1" customHeight="1">
      <c r="A539" s="68"/>
      <c r="B539" s="69"/>
      <c r="C539" s="240" t="s">
        <v>739</v>
      </c>
      <c r="D539" s="240"/>
      <c r="E539" s="241"/>
      <c r="F539" s="70"/>
      <c r="G539" s="71"/>
      <c r="H539" s="71"/>
      <c r="I539" s="240" t="s">
        <v>151</v>
      </c>
      <c r="J539" s="240"/>
      <c r="K539" s="241"/>
      <c r="L539" s="49"/>
      <c r="M539" s="49"/>
      <c r="N539" s="49"/>
      <c r="O539" s="49"/>
      <c r="P539" s="49"/>
      <c r="Q539" s="49"/>
      <c r="R539" s="72"/>
      <c r="S539" s="49"/>
      <c r="T539" s="49">
        <v>0</v>
      </c>
      <c r="U539" s="49">
        <f>T539+M539</f>
        <v>0</v>
      </c>
      <c r="V539" s="49">
        <f>T539+S539</f>
        <v>0</v>
      </c>
      <c r="W539" s="49"/>
      <c r="X539" s="49"/>
      <c r="Y539" s="49"/>
      <c r="Z539" s="49"/>
      <c r="AA539" s="49">
        <v>0</v>
      </c>
      <c r="AB539" s="49"/>
      <c r="AC539" s="49">
        <f t="shared" si="118"/>
        <v>0</v>
      </c>
      <c r="AD539" s="49"/>
      <c r="AE539" s="49"/>
      <c r="AF539" s="49"/>
      <c r="AG539" s="49"/>
      <c r="AH539" s="49"/>
      <c r="AI539" s="49"/>
      <c r="AJ539" s="49"/>
      <c r="AK539" s="49"/>
      <c r="AL539" s="49"/>
      <c r="AM539" s="49"/>
      <c r="AN539" s="49"/>
      <c r="AO539" s="49"/>
      <c r="AP539" s="49"/>
      <c r="AQ539" s="49"/>
      <c r="AR539" s="49"/>
      <c r="AS539" s="49"/>
      <c r="AT539" s="49"/>
      <c r="AU539" s="49"/>
      <c r="AV539" s="49"/>
      <c r="AW539" s="49"/>
      <c r="AX539" s="49"/>
      <c r="AY539" s="49"/>
      <c r="AZ539" s="73">
        <f t="shared" si="116"/>
        <v>0</v>
      </c>
    </row>
    <row r="540" spans="1:53" ht="20.100000000000001" hidden="1" customHeight="1">
      <c r="A540" s="68"/>
      <c r="B540" s="69"/>
      <c r="C540" s="240" t="s">
        <v>740</v>
      </c>
      <c r="D540" s="240"/>
      <c r="E540" s="241"/>
      <c r="F540" s="70"/>
      <c r="G540" s="71"/>
      <c r="H540" s="71"/>
      <c r="I540" s="71"/>
      <c r="J540" s="240" t="s">
        <v>155</v>
      </c>
      <c r="K540" s="241"/>
      <c r="L540" s="49">
        <v>1200000</v>
      </c>
      <c r="M540" s="49">
        <v>1200000</v>
      </c>
      <c r="N540" s="49">
        <v>1199975</v>
      </c>
      <c r="O540" s="49"/>
      <c r="P540" s="49"/>
      <c r="Q540" s="49">
        <f>SUM(N540:P540)</f>
        <v>1199975</v>
      </c>
      <c r="R540" s="72">
        <f t="shared" si="120"/>
        <v>99.997916666666669</v>
      </c>
      <c r="S540" s="49">
        <f>M540-Q540</f>
        <v>25</v>
      </c>
      <c r="T540" s="49">
        <v>0</v>
      </c>
      <c r="U540" s="49">
        <f>T540+M540</f>
        <v>1200000</v>
      </c>
      <c r="V540" s="49">
        <f>T540+S540</f>
        <v>25</v>
      </c>
      <c r="W540" s="49"/>
      <c r="X540" s="49"/>
      <c r="Y540" s="49"/>
      <c r="Z540" s="49"/>
      <c r="AA540" s="49">
        <v>0</v>
      </c>
      <c r="AB540" s="49">
        <v>1200000</v>
      </c>
      <c r="AC540" s="49">
        <f t="shared" si="118"/>
        <v>0</v>
      </c>
      <c r="AD540" s="49">
        <f>AA540+T540+M540</f>
        <v>1200000</v>
      </c>
      <c r="AE540" s="49"/>
      <c r="AF540" s="49"/>
      <c r="AG540" s="49"/>
      <c r="AH540" s="49"/>
      <c r="AI540" s="49"/>
      <c r="AJ540" s="49"/>
      <c r="AK540" s="49">
        <f>Z540+Y540+X540+W540+N540+AG540+AE540+AJ540+AI540+AH540</f>
        <v>1199975</v>
      </c>
      <c r="AL540" s="49">
        <f>AK540/AD540*100</f>
        <v>99.997916666666669</v>
      </c>
      <c r="AM540" s="49"/>
      <c r="AN540" s="49"/>
      <c r="AO540" s="49"/>
      <c r="AP540" s="49"/>
      <c r="AQ540" s="49">
        <f>AK540+AM540+AN540+AO540+AP540</f>
        <v>1199975</v>
      </c>
      <c r="AR540" s="49">
        <f>AQ540/AB540*100</f>
        <v>99.997916666666669</v>
      </c>
      <c r="AS540" s="49">
        <f t="shared" si="114"/>
        <v>25</v>
      </c>
      <c r="AT540" s="49">
        <v>3091500</v>
      </c>
      <c r="AU540" s="49">
        <f t="shared" si="122"/>
        <v>4291500</v>
      </c>
      <c r="AV540" s="49">
        <f t="shared" si="123"/>
        <v>1199975</v>
      </c>
      <c r="AW540" s="72">
        <f t="shared" si="124"/>
        <v>27.961668414307351</v>
      </c>
      <c r="AX540" s="49">
        <f t="shared" si="125"/>
        <v>3091525</v>
      </c>
      <c r="AY540" s="49">
        <f t="shared" si="115"/>
        <v>2.0833333333333333E-3</v>
      </c>
      <c r="AZ540" s="73">
        <f t="shared" si="116"/>
        <v>1199975</v>
      </c>
    </row>
    <row r="541" spans="1:53" ht="20.100000000000001" hidden="1" customHeight="1">
      <c r="A541" s="68"/>
      <c r="B541" s="69"/>
      <c r="C541" s="240" t="s">
        <v>741</v>
      </c>
      <c r="D541" s="240"/>
      <c r="E541" s="241"/>
      <c r="F541" s="70"/>
      <c r="G541" s="71"/>
      <c r="H541" s="71"/>
      <c r="I541" s="240" t="s">
        <v>193</v>
      </c>
      <c r="J541" s="240"/>
      <c r="K541" s="241"/>
      <c r="L541" s="49"/>
      <c r="M541" s="49"/>
      <c r="N541" s="49"/>
      <c r="O541" s="49"/>
      <c r="P541" s="49"/>
      <c r="Q541" s="49"/>
      <c r="R541" s="72"/>
      <c r="S541" s="49"/>
      <c r="T541" s="49">
        <v>0</v>
      </c>
      <c r="U541" s="49"/>
      <c r="V541" s="49"/>
      <c r="W541" s="49"/>
      <c r="X541" s="49"/>
      <c r="Y541" s="49"/>
      <c r="Z541" s="49"/>
      <c r="AA541" s="49">
        <v>0</v>
      </c>
      <c r="AB541" s="49"/>
      <c r="AC541" s="49">
        <f t="shared" si="118"/>
        <v>0</v>
      </c>
      <c r="AD541" s="49"/>
      <c r="AE541" s="49"/>
      <c r="AF541" s="49"/>
      <c r="AG541" s="49"/>
      <c r="AH541" s="49"/>
      <c r="AI541" s="49"/>
      <c r="AJ541" s="49"/>
      <c r="AK541" s="49"/>
      <c r="AL541" s="49"/>
      <c r="AM541" s="49"/>
      <c r="AN541" s="49"/>
      <c r="AO541" s="49"/>
      <c r="AP541" s="49"/>
      <c r="AQ541" s="49"/>
      <c r="AR541" s="49"/>
      <c r="AS541" s="49"/>
      <c r="AT541" s="49"/>
      <c r="AU541" s="49"/>
      <c r="AV541" s="49"/>
      <c r="AW541" s="49"/>
      <c r="AX541" s="49"/>
      <c r="AY541" s="49"/>
      <c r="AZ541" s="73">
        <f t="shared" si="116"/>
        <v>0</v>
      </c>
    </row>
    <row r="542" spans="1:53" ht="20.100000000000001" hidden="1" customHeight="1">
      <c r="A542" s="68"/>
      <c r="B542" s="69"/>
      <c r="C542" s="240" t="s">
        <v>742</v>
      </c>
      <c r="D542" s="240"/>
      <c r="E542" s="241"/>
      <c r="F542" s="70"/>
      <c r="G542" s="71"/>
      <c r="H542" s="71"/>
      <c r="I542" s="71"/>
      <c r="J542" s="240" t="s">
        <v>195</v>
      </c>
      <c r="K542" s="241"/>
      <c r="L542" s="49">
        <v>8330000</v>
      </c>
      <c r="M542" s="49">
        <v>8330000</v>
      </c>
      <c r="N542" s="49">
        <v>8330000</v>
      </c>
      <c r="O542" s="49"/>
      <c r="P542" s="49"/>
      <c r="Q542" s="49">
        <f>SUM(N542:P542)</f>
        <v>8330000</v>
      </c>
      <c r="R542" s="72">
        <f t="shared" si="120"/>
        <v>100</v>
      </c>
      <c r="S542" s="49">
        <f>M542-Q542</f>
        <v>0</v>
      </c>
      <c r="T542" s="49">
        <v>0</v>
      </c>
      <c r="U542" s="49">
        <f>T542+M542</f>
        <v>8330000</v>
      </c>
      <c r="V542" s="49">
        <f>T542+S542</f>
        <v>0</v>
      </c>
      <c r="W542" s="49"/>
      <c r="X542" s="49"/>
      <c r="Y542" s="49"/>
      <c r="Z542" s="49"/>
      <c r="AA542" s="49">
        <v>0</v>
      </c>
      <c r="AB542" s="49">
        <v>8330000</v>
      </c>
      <c r="AC542" s="49">
        <f t="shared" si="118"/>
        <v>0</v>
      </c>
      <c r="AD542" s="49">
        <f>AA542+T542+M542</f>
        <v>8330000</v>
      </c>
      <c r="AE542" s="49"/>
      <c r="AF542" s="49"/>
      <c r="AG542" s="49"/>
      <c r="AH542" s="49"/>
      <c r="AI542" s="49"/>
      <c r="AJ542" s="49"/>
      <c r="AK542" s="49">
        <f>Z542+Y542+X542+W542+N542+AG542+AE542+AJ542+AI542+AH542</f>
        <v>8330000</v>
      </c>
      <c r="AL542" s="49">
        <f>AK542/AD542*100</f>
        <v>100</v>
      </c>
      <c r="AM542" s="49"/>
      <c r="AN542" s="49"/>
      <c r="AO542" s="49"/>
      <c r="AP542" s="49"/>
      <c r="AQ542" s="49">
        <f>AK542+AM542+AN542+AO542+AP542</f>
        <v>8330000</v>
      </c>
      <c r="AR542" s="49">
        <f>AQ542/AB542*100</f>
        <v>100</v>
      </c>
      <c r="AS542" s="49">
        <f t="shared" si="114"/>
        <v>0</v>
      </c>
      <c r="AT542" s="49">
        <v>3091500</v>
      </c>
      <c r="AU542" s="49">
        <f t="shared" si="122"/>
        <v>11421500</v>
      </c>
      <c r="AV542" s="49">
        <f t="shared" si="123"/>
        <v>8330000</v>
      </c>
      <c r="AW542" s="72">
        <f t="shared" si="124"/>
        <v>72.932627062995223</v>
      </c>
      <c r="AX542" s="49">
        <f t="shared" si="125"/>
        <v>3091500</v>
      </c>
      <c r="AY542" s="49">
        <f t="shared" si="115"/>
        <v>0</v>
      </c>
      <c r="AZ542" s="73">
        <f t="shared" si="116"/>
        <v>8330000</v>
      </c>
    </row>
    <row r="543" spans="1:53" ht="20.100000000000001" hidden="1" customHeight="1">
      <c r="A543" s="68"/>
      <c r="B543" s="69"/>
      <c r="C543" s="240" t="s">
        <v>743</v>
      </c>
      <c r="D543" s="240"/>
      <c r="E543" s="241"/>
      <c r="F543" s="70"/>
      <c r="G543" s="71"/>
      <c r="H543" s="71"/>
      <c r="I543" s="240" t="s">
        <v>157</v>
      </c>
      <c r="J543" s="240"/>
      <c r="K543" s="241"/>
      <c r="L543" s="49"/>
      <c r="M543" s="49"/>
      <c r="N543" s="49"/>
      <c r="O543" s="49"/>
      <c r="P543" s="49"/>
      <c r="Q543" s="49"/>
      <c r="R543" s="72"/>
      <c r="S543" s="49"/>
      <c r="T543" s="49">
        <v>0</v>
      </c>
      <c r="U543" s="49"/>
      <c r="V543" s="49"/>
      <c r="W543" s="49"/>
      <c r="X543" s="49"/>
      <c r="Y543" s="49"/>
      <c r="Z543" s="49"/>
      <c r="AA543" s="49">
        <v>0</v>
      </c>
      <c r="AB543" s="49"/>
      <c r="AC543" s="49">
        <f t="shared" si="118"/>
        <v>0</v>
      </c>
      <c r="AD543" s="49"/>
      <c r="AE543" s="49"/>
      <c r="AF543" s="49"/>
      <c r="AG543" s="49"/>
      <c r="AH543" s="49"/>
      <c r="AI543" s="49"/>
      <c r="AJ543" s="49"/>
      <c r="AK543" s="49"/>
      <c r="AL543" s="49"/>
      <c r="AM543" s="49"/>
      <c r="AN543" s="49"/>
      <c r="AO543" s="49"/>
      <c r="AP543" s="49"/>
      <c r="AQ543" s="49"/>
      <c r="AR543" s="49"/>
      <c r="AS543" s="49"/>
      <c r="AT543" s="49"/>
      <c r="AU543" s="49"/>
      <c r="AV543" s="49"/>
      <c r="AW543" s="49"/>
      <c r="AX543" s="49"/>
      <c r="AY543" s="49"/>
      <c r="AZ543" s="73">
        <f t="shared" si="116"/>
        <v>0</v>
      </c>
    </row>
    <row r="544" spans="1:53" ht="20.100000000000001" hidden="1" customHeight="1">
      <c r="A544" s="68"/>
      <c r="B544" s="69"/>
      <c r="C544" s="240" t="s">
        <v>744</v>
      </c>
      <c r="D544" s="240"/>
      <c r="E544" s="241"/>
      <c r="F544" s="70"/>
      <c r="G544" s="71"/>
      <c r="H544" s="71"/>
      <c r="I544" s="71"/>
      <c r="J544" s="240" t="s">
        <v>159</v>
      </c>
      <c r="K544" s="241"/>
      <c r="L544" s="49">
        <v>6130000</v>
      </c>
      <c r="M544" s="49">
        <v>6130000</v>
      </c>
      <c r="N544" s="49">
        <v>6130000</v>
      </c>
      <c r="O544" s="49"/>
      <c r="P544" s="49"/>
      <c r="Q544" s="49">
        <f>SUM(N544:P544)</f>
        <v>6130000</v>
      </c>
      <c r="R544" s="72">
        <f t="shared" si="120"/>
        <v>100</v>
      </c>
      <c r="S544" s="49">
        <f>M544-Q544</f>
        <v>0</v>
      </c>
      <c r="T544" s="49">
        <v>0</v>
      </c>
      <c r="U544" s="49">
        <f>T544+M544</f>
        <v>6130000</v>
      </c>
      <c r="V544" s="49">
        <f>T544+S544</f>
        <v>0</v>
      </c>
      <c r="W544" s="49"/>
      <c r="X544" s="49"/>
      <c r="Y544" s="49"/>
      <c r="Z544" s="49"/>
      <c r="AA544" s="49">
        <v>0</v>
      </c>
      <c r="AB544" s="49">
        <v>6130000</v>
      </c>
      <c r="AC544" s="49">
        <f t="shared" si="118"/>
        <v>0</v>
      </c>
      <c r="AD544" s="49">
        <f>AA544+T544+M544</f>
        <v>6130000</v>
      </c>
      <c r="AE544" s="49"/>
      <c r="AF544" s="49"/>
      <c r="AG544" s="49"/>
      <c r="AH544" s="49"/>
      <c r="AI544" s="49"/>
      <c r="AJ544" s="49"/>
      <c r="AK544" s="49">
        <f>Z544+Y544+X544+W544+N544+AG544+AE544+AJ544+AI544+AH544</f>
        <v>6130000</v>
      </c>
      <c r="AL544" s="49">
        <f>AK544/AD544*100</f>
        <v>100</v>
      </c>
      <c r="AM544" s="49"/>
      <c r="AN544" s="49"/>
      <c r="AO544" s="49"/>
      <c r="AP544" s="49"/>
      <c r="AQ544" s="49">
        <f>AK544+AM544+AN544+AO544+AP544</f>
        <v>6130000</v>
      </c>
      <c r="AR544" s="49">
        <f>AQ544/AB544*100</f>
        <v>100</v>
      </c>
      <c r="AS544" s="49">
        <f t="shared" si="114"/>
        <v>0</v>
      </c>
      <c r="AT544" s="49">
        <v>3091500</v>
      </c>
      <c r="AU544" s="49">
        <f t="shared" si="122"/>
        <v>9221500</v>
      </c>
      <c r="AV544" s="49">
        <f t="shared" si="123"/>
        <v>6130000</v>
      </c>
      <c r="AW544" s="72">
        <f t="shared" si="124"/>
        <v>66.47508539825408</v>
      </c>
      <c r="AX544" s="49">
        <f t="shared" si="125"/>
        <v>3091500</v>
      </c>
      <c r="AY544" s="49">
        <f t="shared" si="115"/>
        <v>0</v>
      </c>
      <c r="AZ544" s="73">
        <f t="shared" si="116"/>
        <v>6130000</v>
      </c>
    </row>
    <row r="545" spans="1:54" ht="20.100000000000001" hidden="1" customHeight="1">
      <c r="A545" s="68"/>
      <c r="B545" s="69"/>
      <c r="C545" s="240" t="s">
        <v>745</v>
      </c>
      <c r="D545" s="240"/>
      <c r="E545" s="241"/>
      <c r="F545" s="70"/>
      <c r="G545" s="71"/>
      <c r="H545" s="71"/>
      <c r="I545" s="71"/>
      <c r="J545" s="240" t="s">
        <v>207</v>
      </c>
      <c r="K545" s="241"/>
      <c r="L545" s="49">
        <v>6675000</v>
      </c>
      <c r="M545" s="49">
        <v>6675000</v>
      </c>
      <c r="N545" s="49">
        <v>6660000</v>
      </c>
      <c r="O545" s="49"/>
      <c r="P545" s="49"/>
      <c r="Q545" s="49">
        <f>SUM(N545:P545)</f>
        <v>6660000</v>
      </c>
      <c r="R545" s="72">
        <f t="shared" si="120"/>
        <v>99.775280898876403</v>
      </c>
      <c r="S545" s="49">
        <f>M545-Q545</f>
        <v>15000</v>
      </c>
      <c r="T545" s="49">
        <v>0</v>
      </c>
      <c r="U545" s="49">
        <f>T545+M545</f>
        <v>6675000</v>
      </c>
      <c r="V545" s="49">
        <f>T545+S545</f>
        <v>15000</v>
      </c>
      <c r="W545" s="49"/>
      <c r="X545" s="49"/>
      <c r="Y545" s="49"/>
      <c r="Z545" s="49"/>
      <c r="AA545" s="49">
        <v>0</v>
      </c>
      <c r="AB545" s="49">
        <v>6675000</v>
      </c>
      <c r="AC545" s="49">
        <f t="shared" si="118"/>
        <v>0</v>
      </c>
      <c r="AD545" s="49">
        <f>AA545+T545+M545</f>
        <v>6675000</v>
      </c>
      <c r="AE545" s="49"/>
      <c r="AF545" s="49"/>
      <c r="AG545" s="49"/>
      <c r="AH545" s="49"/>
      <c r="AI545" s="49"/>
      <c r="AJ545" s="49"/>
      <c r="AK545" s="49">
        <f>Z545+Y545+X545+W545+N545+AG545+AE545+AJ545+AI545+AH545</f>
        <v>6660000</v>
      </c>
      <c r="AL545" s="49">
        <f>AK545/AD545*100</f>
        <v>99.775280898876403</v>
      </c>
      <c r="AM545" s="49"/>
      <c r="AN545" s="49"/>
      <c r="AO545" s="49"/>
      <c r="AP545" s="49"/>
      <c r="AQ545" s="49">
        <f>AK545+AM545+AN545+AO545+AP545</f>
        <v>6660000</v>
      </c>
      <c r="AR545" s="49">
        <f>AQ545/AB545*100</f>
        <v>99.775280898876403</v>
      </c>
      <c r="AS545" s="49">
        <f t="shared" si="114"/>
        <v>15000</v>
      </c>
      <c r="AT545" s="49">
        <v>3091500</v>
      </c>
      <c r="AU545" s="49">
        <f t="shared" si="122"/>
        <v>9766500</v>
      </c>
      <c r="AV545" s="49">
        <f t="shared" si="123"/>
        <v>6660000</v>
      </c>
      <c r="AW545" s="72">
        <f t="shared" si="124"/>
        <v>68.192289970818607</v>
      </c>
      <c r="AX545" s="49">
        <f t="shared" si="125"/>
        <v>3106500</v>
      </c>
      <c r="AY545" s="49">
        <f>AS545/AB545*100</f>
        <v>0.22471910112359553</v>
      </c>
      <c r="AZ545" s="73">
        <f t="shared" si="116"/>
        <v>6660000</v>
      </c>
    </row>
    <row r="546" spans="1:54" ht="20.100000000000001" hidden="1" customHeight="1">
      <c r="A546" s="68"/>
      <c r="B546" s="69"/>
      <c r="C546" s="240" t="s">
        <v>746</v>
      </c>
      <c r="D546" s="240"/>
      <c r="E546" s="241"/>
      <c r="F546" s="70"/>
      <c r="G546" s="71"/>
      <c r="H546" s="71"/>
      <c r="I546" s="240" t="s">
        <v>402</v>
      </c>
      <c r="J546" s="240"/>
      <c r="K546" s="241"/>
      <c r="L546" s="49"/>
      <c r="M546" s="49"/>
      <c r="N546" s="49"/>
      <c r="O546" s="49" t="s">
        <v>48</v>
      </c>
      <c r="P546" s="49"/>
      <c r="Q546" s="49"/>
      <c r="R546" s="72"/>
      <c r="S546" s="49"/>
      <c r="T546" s="49">
        <v>0</v>
      </c>
      <c r="U546" s="49"/>
      <c r="V546" s="49"/>
      <c r="W546" s="49" t="s">
        <v>48</v>
      </c>
      <c r="X546" s="49"/>
      <c r="Y546" s="49"/>
      <c r="Z546" s="49"/>
      <c r="AA546" s="49">
        <v>0</v>
      </c>
      <c r="AB546" s="49"/>
      <c r="AC546" s="49">
        <f t="shared" si="118"/>
        <v>0</v>
      </c>
      <c r="AD546" s="49"/>
      <c r="AE546" s="49"/>
      <c r="AF546" s="49"/>
      <c r="AG546" s="49" t="s">
        <v>48</v>
      </c>
      <c r="AH546" s="49" t="s">
        <v>48</v>
      </c>
      <c r="AI546" s="49" t="s">
        <v>48</v>
      </c>
      <c r="AJ546" s="49" t="s">
        <v>48</v>
      </c>
      <c r="AK546" s="49"/>
      <c r="AL546" s="49"/>
      <c r="AM546" s="49"/>
      <c r="AN546" s="49"/>
      <c r="AO546" s="49"/>
      <c r="AP546" s="49"/>
      <c r="AQ546" s="49"/>
      <c r="AR546" s="49"/>
      <c r="AS546" s="49"/>
      <c r="AT546" s="49"/>
      <c r="AU546" s="49"/>
      <c r="AV546" s="49"/>
      <c r="AW546" s="49"/>
      <c r="AX546" s="49"/>
      <c r="AY546" s="49"/>
      <c r="AZ546" s="73">
        <f t="shared" si="116"/>
        <v>0</v>
      </c>
    </row>
    <row r="547" spans="1:54" ht="20.100000000000001" hidden="1" customHeight="1">
      <c r="A547" s="68"/>
      <c r="B547" s="69"/>
      <c r="C547" s="240" t="s">
        <v>747</v>
      </c>
      <c r="D547" s="240"/>
      <c r="E547" s="241"/>
      <c r="F547" s="70"/>
      <c r="G547" s="71"/>
      <c r="H547" s="71"/>
      <c r="I547" s="71"/>
      <c r="J547" s="240" t="s">
        <v>404</v>
      </c>
      <c r="K547" s="241"/>
      <c r="L547" s="49">
        <v>7300000</v>
      </c>
      <c r="M547" s="49">
        <v>7300000</v>
      </c>
      <c r="N547" s="49">
        <v>7300000</v>
      </c>
      <c r="O547" s="49"/>
      <c r="P547" s="49"/>
      <c r="Q547" s="49">
        <f>SUM(N547:P547)</f>
        <v>7300000</v>
      </c>
      <c r="R547" s="72">
        <f t="shared" si="120"/>
        <v>100</v>
      </c>
      <c r="S547" s="49">
        <f>M547-Q547</f>
        <v>0</v>
      </c>
      <c r="T547" s="49">
        <v>0</v>
      </c>
      <c r="U547" s="49">
        <f>T547+M547</f>
        <v>7300000</v>
      </c>
      <c r="V547" s="49">
        <f>T547+S547</f>
        <v>0</v>
      </c>
      <c r="W547" s="49"/>
      <c r="X547" s="49"/>
      <c r="Y547" s="49"/>
      <c r="Z547" s="49"/>
      <c r="AA547" s="49">
        <v>0</v>
      </c>
      <c r="AB547" s="49">
        <v>7300000</v>
      </c>
      <c r="AC547" s="49">
        <f t="shared" si="118"/>
        <v>0</v>
      </c>
      <c r="AD547" s="49">
        <f>AA547+T547+M547</f>
        <v>7300000</v>
      </c>
      <c r="AE547" s="49"/>
      <c r="AF547" s="49"/>
      <c r="AG547" s="49"/>
      <c r="AH547" s="49"/>
      <c r="AI547" s="49"/>
      <c r="AJ547" s="49"/>
      <c r="AK547" s="49">
        <f>Z547+Y547+X547+W547+N547+AG547+AE547+AJ547+AI547+AH547</f>
        <v>7300000</v>
      </c>
      <c r="AL547" s="49">
        <f>AK547/AD547*100</f>
        <v>100</v>
      </c>
      <c r="AM547" s="49"/>
      <c r="AN547" s="49"/>
      <c r="AO547" s="49"/>
      <c r="AP547" s="49"/>
      <c r="AQ547" s="49">
        <f>AK547+AM547+AN547+AO547+AP547</f>
        <v>7300000</v>
      </c>
      <c r="AR547" s="49">
        <f>AQ547/AB547*100</f>
        <v>100</v>
      </c>
      <c r="AS547" s="49">
        <f t="shared" ref="AS547:AS606" si="126">AB547-AQ547</f>
        <v>0</v>
      </c>
      <c r="AT547" s="49">
        <v>3091500</v>
      </c>
      <c r="AU547" s="49">
        <f t="shared" si="122"/>
        <v>10391500</v>
      </c>
      <c r="AV547" s="49">
        <f t="shared" si="123"/>
        <v>7300000</v>
      </c>
      <c r="AW547" s="72">
        <f t="shared" si="124"/>
        <v>70.249723331569072</v>
      </c>
      <c r="AX547" s="49">
        <f t="shared" si="125"/>
        <v>3091500</v>
      </c>
      <c r="AY547" s="49">
        <f t="shared" ref="AY547:AY606" si="127">AS547/AB547*100</f>
        <v>0</v>
      </c>
      <c r="AZ547" s="73">
        <f t="shared" si="116"/>
        <v>7300000</v>
      </c>
    </row>
    <row r="548" spans="1:54" ht="20.100000000000001" customHeight="1">
      <c r="A548" s="60" t="s">
        <v>748</v>
      </c>
      <c r="B548" s="75"/>
      <c r="C548" s="247" t="s">
        <v>749</v>
      </c>
      <c r="D548" s="247"/>
      <c r="E548" s="248"/>
      <c r="F548" s="249" t="s">
        <v>750</v>
      </c>
      <c r="G548" s="250"/>
      <c r="H548" s="250"/>
      <c r="I548" s="250"/>
      <c r="J548" s="250"/>
      <c r="K548" s="251"/>
      <c r="L548" s="48">
        <f>L549+L578+L607</f>
        <v>849500000</v>
      </c>
      <c r="M548" s="48">
        <f>M549+M578+M607</f>
        <v>40827000</v>
      </c>
      <c r="N548" s="48">
        <f>N549+N578+N607</f>
        <v>36576500</v>
      </c>
      <c r="O548" s="48">
        <f>O549+O578+O607</f>
        <v>0</v>
      </c>
      <c r="P548" s="48">
        <f>P549+P578+P607</f>
        <v>0</v>
      </c>
      <c r="Q548" s="48">
        <f>SUM(N548:P548)</f>
        <v>36576500</v>
      </c>
      <c r="R548" s="61">
        <f t="shared" si="120"/>
        <v>89.588997477159722</v>
      </c>
      <c r="S548" s="48">
        <f>M548-Q548</f>
        <v>4250500</v>
      </c>
      <c r="T548" s="48">
        <f>T549+T578+T607</f>
        <v>288112900</v>
      </c>
      <c r="U548" s="48">
        <f>T548+M548</f>
        <v>328939900</v>
      </c>
      <c r="V548" s="48">
        <f>T548+S548</f>
        <v>292363400</v>
      </c>
      <c r="W548" s="48">
        <f>W549+W578+W607</f>
        <v>88357850</v>
      </c>
      <c r="X548" s="48">
        <f>X549+X578+X607</f>
        <v>142446100</v>
      </c>
      <c r="Y548" s="48">
        <f>Y549+Y578+Y607</f>
        <v>0</v>
      </c>
      <c r="Z548" s="48"/>
      <c r="AA548" s="48">
        <f>AA549+AA578+AA607</f>
        <v>282490100</v>
      </c>
      <c r="AB548" s="48">
        <f>AB549+AB578+AB607</f>
        <v>849500000</v>
      </c>
      <c r="AC548" s="48">
        <f t="shared" si="118"/>
        <v>0</v>
      </c>
      <c r="AD548" s="48">
        <f>AA548+T548+M548</f>
        <v>611430000</v>
      </c>
      <c r="AE548" s="48">
        <f t="shared" ref="AE548:AK548" si="128">AE549+AE578+AE607</f>
        <v>0</v>
      </c>
      <c r="AF548" s="48">
        <f t="shared" si="128"/>
        <v>0</v>
      </c>
      <c r="AG548" s="48">
        <f t="shared" si="128"/>
        <v>59935000</v>
      </c>
      <c r="AH548" s="48">
        <f t="shared" si="128"/>
        <v>0</v>
      </c>
      <c r="AI548" s="48">
        <f t="shared" si="128"/>
        <v>0</v>
      </c>
      <c r="AJ548" s="48">
        <f t="shared" si="128"/>
        <v>53881000</v>
      </c>
      <c r="AK548" s="48">
        <f t="shared" si="128"/>
        <v>381196450</v>
      </c>
      <c r="AL548" s="48">
        <f>AK548/AB548*100</f>
        <v>44.873037080635669</v>
      </c>
      <c r="AM548" s="48">
        <f>AM549+AM578+AM607</f>
        <v>61085000</v>
      </c>
      <c r="AN548" s="48">
        <f>AN549+AN578+AN607</f>
        <v>42500000</v>
      </c>
      <c r="AO548" s="48">
        <f>AO549+AO578+AO607</f>
        <v>0</v>
      </c>
      <c r="AP548" s="48">
        <f>AP549+AP578+AP607</f>
        <v>178300900</v>
      </c>
      <c r="AQ548" s="48">
        <f>AK548+AM548+AN548+AO548+AP548</f>
        <v>663082350</v>
      </c>
      <c r="AR548" s="48">
        <f>AQ548/AB548*100</f>
        <v>78.055603296056503</v>
      </c>
      <c r="AS548" s="48">
        <f>AB548-AQ548</f>
        <v>186417650</v>
      </c>
      <c r="AT548" s="48">
        <v>120767500</v>
      </c>
      <c r="AU548" s="48">
        <f>AT548+U548</f>
        <v>449707400</v>
      </c>
      <c r="AV548" s="48">
        <f>AK548</f>
        <v>381196450</v>
      </c>
      <c r="AW548" s="61">
        <f>AV548/AU548*100</f>
        <v>84.765438594072506</v>
      </c>
      <c r="AX548" s="48">
        <f>AU548-AV548</f>
        <v>68510950</v>
      </c>
      <c r="AY548" s="48">
        <f>AS548/AB548*100</f>
        <v>21.944396703943497</v>
      </c>
      <c r="AZ548" s="73">
        <f t="shared" ref="AZ548:AZ611" si="129">AQ548-AO548</f>
        <v>663082350</v>
      </c>
    </row>
    <row r="549" spans="1:54" ht="20.100000000000001" customHeight="1">
      <c r="A549" s="62">
        <v>34</v>
      </c>
      <c r="B549" s="63"/>
      <c r="C549" s="242" t="s">
        <v>751</v>
      </c>
      <c r="D549" s="242"/>
      <c r="E549" s="243"/>
      <c r="F549" s="64"/>
      <c r="G549" s="244" t="s">
        <v>34</v>
      </c>
      <c r="H549" s="244"/>
      <c r="I549" s="244"/>
      <c r="J549" s="244"/>
      <c r="K549" s="245"/>
      <c r="L549" s="65">
        <f>SUM(L552:L577)</f>
        <v>307000000</v>
      </c>
      <c r="M549" s="65">
        <f>SUM(M552:M577)</f>
        <v>9097000</v>
      </c>
      <c r="N549" s="65">
        <f>SUM(N552:N577)</f>
        <v>7097000</v>
      </c>
      <c r="O549" s="65">
        <f>SUM(O552:O577)</f>
        <v>0</v>
      </c>
      <c r="P549" s="65">
        <f>SUM(P552:P577)</f>
        <v>0</v>
      </c>
      <c r="Q549" s="65">
        <f>SUM(N549:P549)</f>
        <v>7097000</v>
      </c>
      <c r="R549" s="66">
        <f t="shared" si="120"/>
        <v>78.014730130812353</v>
      </c>
      <c r="S549" s="65">
        <f>M549-Q549</f>
        <v>2000000</v>
      </c>
      <c r="T549" s="65">
        <f>SUM(T552:T577)</f>
        <v>200974900</v>
      </c>
      <c r="U549" s="65">
        <f>T549+M549</f>
        <v>210071900</v>
      </c>
      <c r="V549" s="65">
        <f>T549+S549</f>
        <v>202974900</v>
      </c>
      <c r="W549" s="65">
        <f>SUM(W552:W577)</f>
        <v>36290000</v>
      </c>
      <c r="X549" s="65">
        <f>SUM(X552:X577)</f>
        <v>142446100</v>
      </c>
      <c r="Y549" s="65">
        <f>SUM(Y552:Y577)</f>
        <v>0</v>
      </c>
      <c r="Z549" s="65"/>
      <c r="AA549" s="65">
        <f>SUM(AA552:AA577)</f>
        <v>48903100</v>
      </c>
      <c r="AB549" s="65">
        <f>SUM(AB552:AB577)</f>
        <v>307000000</v>
      </c>
      <c r="AC549" s="65">
        <f t="shared" si="118"/>
        <v>0</v>
      </c>
      <c r="AD549" s="65">
        <f>AA549+T549+M549</f>
        <v>258975000</v>
      </c>
      <c r="AE549" s="65">
        <f t="shared" ref="AE549:AK549" si="130">SUM(AE552:AE577)</f>
        <v>0</v>
      </c>
      <c r="AF549" s="65">
        <f t="shared" si="130"/>
        <v>0</v>
      </c>
      <c r="AG549" s="65">
        <f t="shared" si="130"/>
        <v>0</v>
      </c>
      <c r="AH549" s="65">
        <f t="shared" si="130"/>
        <v>0</v>
      </c>
      <c r="AI549" s="65">
        <f t="shared" si="130"/>
        <v>0</v>
      </c>
      <c r="AJ549" s="65">
        <f t="shared" si="130"/>
        <v>4756000</v>
      </c>
      <c r="AK549" s="65">
        <f t="shared" si="130"/>
        <v>190589100</v>
      </c>
      <c r="AL549" s="65">
        <f>AK549/AB549*100</f>
        <v>62.081140065146577</v>
      </c>
      <c r="AM549" s="65">
        <f>SUM(AM552:AM577)</f>
        <v>0</v>
      </c>
      <c r="AN549" s="65">
        <f>SUM(AN552:AN577)</f>
        <v>0</v>
      </c>
      <c r="AO549" s="65">
        <f>SUM(AO552:AO577)</f>
        <v>0</v>
      </c>
      <c r="AP549" s="42">
        <f>SUM(AP552:AP577)</f>
        <v>68335900</v>
      </c>
      <c r="AQ549" s="65">
        <f>AK549+AM549+AN549+AO549+AP549</f>
        <v>258925000</v>
      </c>
      <c r="AR549" s="65">
        <f>AQ549/AB549*100</f>
        <v>84.340390879478832</v>
      </c>
      <c r="AS549" s="65">
        <f>AB549-AQ549</f>
        <v>48075000</v>
      </c>
      <c r="AT549" s="65">
        <f>SUM(AT552:AT558)</f>
        <v>12366000</v>
      </c>
      <c r="AU549" s="65">
        <f>AT549+U549</f>
        <v>222437900</v>
      </c>
      <c r="AV549" s="65">
        <f>AK549</f>
        <v>190589100</v>
      </c>
      <c r="AW549" s="66">
        <f>AV549/AU549*100</f>
        <v>85.681936396630249</v>
      </c>
      <c r="AX549" s="65">
        <f>AU549-AV549</f>
        <v>31848800</v>
      </c>
      <c r="AY549" s="65">
        <f>AS549/AB549*100</f>
        <v>15.659609120521173</v>
      </c>
      <c r="AZ549" s="67">
        <f t="shared" si="129"/>
        <v>258925000</v>
      </c>
    </row>
    <row r="550" spans="1:54" ht="20.100000000000001" hidden="1" customHeight="1">
      <c r="A550" s="68"/>
      <c r="B550" s="69"/>
      <c r="C550" s="240" t="s">
        <v>752</v>
      </c>
      <c r="D550" s="240"/>
      <c r="E550" s="241"/>
      <c r="F550" s="70"/>
      <c r="G550" s="71"/>
      <c r="H550" s="240" t="s">
        <v>10</v>
      </c>
      <c r="I550" s="240"/>
      <c r="J550" s="240"/>
      <c r="K550" s="241"/>
      <c r="L550" s="49"/>
      <c r="M550" s="49"/>
      <c r="N550" s="49"/>
      <c r="O550" s="49"/>
      <c r="P550" s="49"/>
      <c r="Q550" s="49"/>
      <c r="R550" s="72"/>
      <c r="S550" s="49"/>
      <c r="T550" s="49"/>
      <c r="U550" s="49"/>
      <c r="V550" s="49"/>
      <c r="W550" s="49"/>
      <c r="X550" s="49"/>
      <c r="Y550" s="49"/>
      <c r="Z550" s="49"/>
      <c r="AA550" s="49"/>
      <c r="AB550" s="49"/>
      <c r="AC550" s="49">
        <f t="shared" si="118"/>
        <v>0</v>
      </c>
      <c r="AD550" s="49"/>
      <c r="AE550" s="49"/>
      <c r="AF550" s="49"/>
      <c r="AG550" s="49"/>
      <c r="AH550" s="49"/>
      <c r="AI550" s="49"/>
      <c r="AJ550" s="49"/>
      <c r="AK550" s="49"/>
      <c r="AL550" s="49"/>
      <c r="AM550" s="49"/>
      <c r="AN550" s="49"/>
      <c r="AO550" s="49"/>
      <c r="AP550" s="42"/>
      <c r="AQ550" s="49"/>
      <c r="AR550" s="49"/>
      <c r="AS550" s="49"/>
      <c r="AT550" s="49"/>
      <c r="AU550" s="49"/>
      <c r="AV550" s="49"/>
      <c r="AW550" s="49"/>
      <c r="AX550" s="49"/>
      <c r="AY550" s="49"/>
      <c r="AZ550" s="73">
        <f t="shared" si="129"/>
        <v>0</v>
      </c>
    </row>
    <row r="551" spans="1:54" ht="20.100000000000001" hidden="1" customHeight="1">
      <c r="A551" s="68"/>
      <c r="B551" s="69"/>
      <c r="C551" s="240" t="s">
        <v>753</v>
      </c>
      <c r="D551" s="240"/>
      <c r="E551" s="241"/>
      <c r="F551" s="70"/>
      <c r="G551" s="71"/>
      <c r="H551" s="71"/>
      <c r="I551" s="240" t="s">
        <v>177</v>
      </c>
      <c r="J551" s="240"/>
      <c r="K551" s="241"/>
      <c r="L551" s="49"/>
      <c r="M551" s="49"/>
      <c r="N551" s="49"/>
      <c r="O551" s="49"/>
      <c r="P551" s="49"/>
      <c r="Q551" s="49"/>
      <c r="R551" s="72"/>
      <c r="S551" s="49"/>
      <c r="T551" s="49"/>
      <c r="U551" s="49"/>
      <c r="V551" s="49"/>
      <c r="W551" s="49"/>
      <c r="X551" s="49"/>
      <c r="Y551" s="49"/>
      <c r="Z551" s="49"/>
      <c r="AA551" s="49"/>
      <c r="AB551" s="49"/>
      <c r="AC551" s="49">
        <f t="shared" si="118"/>
        <v>0</v>
      </c>
      <c r="AD551" s="49"/>
      <c r="AE551" s="49"/>
      <c r="AF551" s="49"/>
      <c r="AG551" s="49"/>
      <c r="AH551" s="49"/>
      <c r="AI551" s="49"/>
      <c r="AJ551" s="49"/>
      <c r="AK551" s="49"/>
      <c r="AL551" s="49"/>
      <c r="AM551" s="49"/>
      <c r="AN551" s="49"/>
      <c r="AO551" s="49"/>
      <c r="AP551" s="42"/>
      <c r="AQ551" s="49"/>
      <c r="AR551" s="49"/>
      <c r="AS551" s="49"/>
      <c r="AT551" s="49"/>
      <c r="AU551" s="49"/>
      <c r="AV551" s="49"/>
      <c r="AW551" s="49"/>
      <c r="AX551" s="49"/>
      <c r="AY551" s="49"/>
      <c r="AZ551" s="73">
        <f t="shared" si="129"/>
        <v>0</v>
      </c>
    </row>
    <row r="552" spans="1:54" ht="20.100000000000001" hidden="1" customHeight="1">
      <c r="A552" s="68"/>
      <c r="B552" s="69"/>
      <c r="C552" s="240" t="s">
        <v>754</v>
      </c>
      <c r="D552" s="240"/>
      <c r="E552" s="241"/>
      <c r="F552" s="70"/>
      <c r="G552" s="71"/>
      <c r="H552" s="71"/>
      <c r="I552" s="71"/>
      <c r="J552" s="240" t="s">
        <v>283</v>
      </c>
      <c r="K552" s="241"/>
      <c r="L552" s="49">
        <v>21075000</v>
      </c>
      <c r="M552" s="49">
        <v>0</v>
      </c>
      <c r="N552" s="49"/>
      <c r="O552" s="49"/>
      <c r="P552" s="49"/>
      <c r="Q552" s="49">
        <f>SUM(N552:P552)</f>
        <v>0</v>
      </c>
      <c r="R552" s="72"/>
      <c r="S552" s="49">
        <f>M552-Q552</f>
        <v>0</v>
      </c>
      <c r="T552" s="49">
        <v>7025000</v>
      </c>
      <c r="U552" s="49">
        <f>T552+M552</f>
        <v>7025000</v>
      </c>
      <c r="V552" s="49">
        <f>T552+S552</f>
        <v>7025000</v>
      </c>
      <c r="W552" s="49">
        <v>6000000</v>
      </c>
      <c r="X552" s="49"/>
      <c r="Y552" s="49"/>
      <c r="Z552" s="49"/>
      <c r="AA552" s="49">
        <v>7025000</v>
      </c>
      <c r="AB552" s="49">
        <v>21075000</v>
      </c>
      <c r="AC552" s="49">
        <f t="shared" si="118"/>
        <v>0</v>
      </c>
      <c r="AD552" s="49">
        <f>AA552+T552+M552</f>
        <v>14050000</v>
      </c>
      <c r="AE552" s="49"/>
      <c r="AF552" s="49"/>
      <c r="AG552" s="49">
        <v>0</v>
      </c>
      <c r="AH552" s="49"/>
      <c r="AI552" s="49">
        <v>0</v>
      </c>
      <c r="AJ552" s="49">
        <v>0</v>
      </c>
      <c r="AK552" s="49">
        <f>Z552+Y552+X552+W552+N552+AG552+AE552+AJ552+AI552+AH552</f>
        <v>6000000</v>
      </c>
      <c r="AL552" s="49">
        <f>AK552/AD552*100</f>
        <v>42.704626334519574</v>
      </c>
      <c r="AM552" s="49"/>
      <c r="AN552" s="49"/>
      <c r="AO552" s="49"/>
      <c r="AP552" s="42">
        <v>12000000</v>
      </c>
      <c r="AQ552" s="49">
        <f>AK552+AM552+AN552+AO552+AP552</f>
        <v>18000000</v>
      </c>
      <c r="AR552" s="49">
        <f>AQ552/AB552*100</f>
        <v>85.409252669039148</v>
      </c>
      <c r="AS552" s="49">
        <f t="shared" si="126"/>
        <v>3075000</v>
      </c>
      <c r="AT552" s="49">
        <v>3091500</v>
      </c>
      <c r="AU552" s="49">
        <f>AT552+U552</f>
        <v>10116500</v>
      </c>
      <c r="AV552" s="49">
        <f>AK552</f>
        <v>6000000</v>
      </c>
      <c r="AW552" s="72">
        <f>AV552/AU552*100</f>
        <v>59.309049572480596</v>
      </c>
      <c r="AX552" s="49">
        <f>AU552-AV552</f>
        <v>4116500</v>
      </c>
      <c r="AY552" s="49">
        <f t="shared" si="127"/>
        <v>14.590747330960854</v>
      </c>
      <c r="AZ552" s="73">
        <f t="shared" si="129"/>
        <v>18000000</v>
      </c>
      <c r="BA552" s="29">
        <f>AS552</f>
        <v>3075000</v>
      </c>
    </row>
    <row r="553" spans="1:54" ht="20.100000000000001" hidden="1" customHeight="1">
      <c r="A553" s="68"/>
      <c r="B553" s="69"/>
      <c r="C553" s="240" t="s">
        <v>755</v>
      </c>
      <c r="D553" s="240"/>
      <c r="E553" s="241"/>
      <c r="F553" s="70"/>
      <c r="G553" s="71"/>
      <c r="H553" s="71"/>
      <c r="I553" s="71"/>
      <c r="J553" s="240" t="s">
        <v>384</v>
      </c>
      <c r="K553" s="241"/>
      <c r="L553" s="49">
        <v>2450000</v>
      </c>
      <c r="M553" s="49">
        <v>0</v>
      </c>
      <c r="N553" s="49"/>
      <c r="O553" s="49"/>
      <c r="P553" s="49"/>
      <c r="Q553" s="49">
        <f>SUM(N553:P553)</f>
        <v>0</v>
      </c>
      <c r="R553" s="72"/>
      <c r="S553" s="49">
        <f>M553-Q553</f>
        <v>0</v>
      </c>
      <c r="T553" s="49">
        <v>2450000</v>
      </c>
      <c r="U553" s="49">
        <f>T553+M553</f>
        <v>2450000</v>
      </c>
      <c r="V553" s="49">
        <f>T553+S553</f>
        <v>2450000</v>
      </c>
      <c r="W553" s="49">
        <v>1240000</v>
      </c>
      <c r="X553" s="49"/>
      <c r="Y553" s="49"/>
      <c r="Z553" s="49"/>
      <c r="AA553" s="49">
        <v>0</v>
      </c>
      <c r="AB553" s="49">
        <v>2450000</v>
      </c>
      <c r="AC553" s="49">
        <f t="shared" si="118"/>
        <v>0</v>
      </c>
      <c r="AD553" s="49">
        <f>AA553+T553+M553</f>
        <v>2450000</v>
      </c>
      <c r="AE553" s="49"/>
      <c r="AF553" s="49"/>
      <c r="AG553" s="49">
        <v>0</v>
      </c>
      <c r="AH553" s="49"/>
      <c r="AI553" s="49">
        <v>0</v>
      </c>
      <c r="AJ553" s="49">
        <v>0</v>
      </c>
      <c r="AK553" s="49">
        <f>Z553+Y553+X553+W553+N553+AG553+AE553+AJ553+AI553+AH553</f>
        <v>1240000</v>
      </c>
      <c r="AL553" s="49">
        <f>AK553/AD553*100</f>
        <v>50.612244897959179</v>
      </c>
      <c r="AM553" s="49"/>
      <c r="AN553" s="49"/>
      <c r="AO553" s="49"/>
      <c r="AP553" s="42">
        <v>1210000</v>
      </c>
      <c r="AQ553" s="49">
        <f>AK553+AM553+AN553+AO553+AP553</f>
        <v>2450000</v>
      </c>
      <c r="AR553" s="49">
        <f>AQ553/AB553*100</f>
        <v>100</v>
      </c>
      <c r="AS553" s="49">
        <f t="shared" si="126"/>
        <v>0</v>
      </c>
      <c r="AT553" s="49">
        <v>3091500</v>
      </c>
      <c r="AU553" s="49">
        <f>AT553+U553</f>
        <v>5541500</v>
      </c>
      <c r="AV553" s="49">
        <f>AK553</f>
        <v>1240000</v>
      </c>
      <c r="AW553" s="72">
        <f>AV553/AU553*100</f>
        <v>22.376612830461067</v>
      </c>
      <c r="AX553" s="49">
        <f>AU553-AV553</f>
        <v>4301500</v>
      </c>
      <c r="AY553" s="49">
        <f t="shared" si="127"/>
        <v>0</v>
      </c>
      <c r="AZ553" s="73">
        <f t="shared" si="129"/>
        <v>2450000</v>
      </c>
    </row>
    <row r="554" spans="1:54" ht="20.100000000000001" hidden="1" customHeight="1">
      <c r="A554" s="68"/>
      <c r="B554" s="69"/>
      <c r="C554" s="240" t="s">
        <v>756</v>
      </c>
      <c r="D554" s="240"/>
      <c r="E554" s="241"/>
      <c r="F554" s="70"/>
      <c r="G554" s="71"/>
      <c r="H554" s="240" t="s">
        <v>143</v>
      </c>
      <c r="I554" s="240"/>
      <c r="J554" s="240"/>
      <c r="K554" s="241"/>
      <c r="L554" s="49"/>
      <c r="M554" s="49"/>
      <c r="N554" s="49"/>
      <c r="O554" s="49"/>
      <c r="P554" s="49"/>
      <c r="Q554" s="49"/>
      <c r="R554" s="72"/>
      <c r="S554" s="49"/>
      <c r="T554" s="49"/>
      <c r="U554" s="49"/>
      <c r="V554" s="49"/>
      <c r="W554" s="49"/>
      <c r="X554" s="49"/>
      <c r="Y554" s="49"/>
      <c r="Z554" s="49"/>
      <c r="AA554" s="49"/>
      <c r="AB554" s="49"/>
      <c r="AC554" s="49">
        <f t="shared" si="118"/>
        <v>0</v>
      </c>
      <c r="AD554" s="49"/>
      <c r="AE554" s="49"/>
      <c r="AF554" s="49"/>
      <c r="AG554" s="49"/>
      <c r="AH554" s="49"/>
      <c r="AI554" s="49"/>
      <c r="AJ554" s="49"/>
      <c r="AK554" s="49"/>
      <c r="AL554" s="49"/>
      <c r="AM554" s="49"/>
      <c r="AN554" s="49"/>
      <c r="AO554" s="49"/>
      <c r="AP554" s="42"/>
      <c r="AQ554" s="49"/>
      <c r="AR554" s="49"/>
      <c r="AS554" s="49"/>
      <c r="AT554" s="49"/>
      <c r="AU554" s="49"/>
      <c r="AV554" s="49"/>
      <c r="AW554" s="49"/>
      <c r="AX554" s="49"/>
      <c r="AY554" s="49"/>
      <c r="AZ554" s="73">
        <f t="shared" si="129"/>
        <v>0</v>
      </c>
    </row>
    <row r="555" spans="1:54" ht="20.100000000000001" hidden="1" customHeight="1">
      <c r="A555" s="68"/>
      <c r="B555" s="69"/>
      <c r="C555" s="240" t="s">
        <v>757</v>
      </c>
      <c r="D555" s="240"/>
      <c r="E555" s="241"/>
      <c r="F555" s="70"/>
      <c r="G555" s="71"/>
      <c r="H555" s="71"/>
      <c r="I555" s="240" t="s">
        <v>145</v>
      </c>
      <c r="J555" s="240"/>
      <c r="K555" s="241"/>
      <c r="L555" s="49"/>
      <c r="M555" s="49"/>
      <c r="N555" s="49"/>
      <c r="O555" s="49"/>
      <c r="P555" s="49"/>
      <c r="Q555" s="49"/>
      <c r="R555" s="72"/>
      <c r="S555" s="49"/>
      <c r="T555" s="49">
        <v>0</v>
      </c>
      <c r="U555" s="49">
        <f>T555+M555</f>
        <v>0</v>
      </c>
      <c r="V555" s="49">
        <f>T555+S555</f>
        <v>0</v>
      </c>
      <c r="W555" s="49"/>
      <c r="X555" s="49"/>
      <c r="Y555" s="49"/>
      <c r="Z555" s="49"/>
      <c r="AA555" s="49">
        <v>0</v>
      </c>
      <c r="AB555" s="49"/>
      <c r="AC555" s="49">
        <f t="shared" si="118"/>
        <v>0</v>
      </c>
      <c r="AD555" s="49"/>
      <c r="AE555" s="49"/>
      <c r="AF555" s="49"/>
      <c r="AG555" s="49"/>
      <c r="AH555" s="49"/>
      <c r="AI555" s="49"/>
      <c r="AJ555" s="49"/>
      <c r="AK555" s="49"/>
      <c r="AL555" s="49"/>
      <c r="AM555" s="49"/>
      <c r="AN555" s="49"/>
      <c r="AO555" s="49"/>
      <c r="AP555" s="42"/>
      <c r="AQ555" s="49"/>
      <c r="AR555" s="49"/>
      <c r="AS555" s="49"/>
      <c r="AT555" s="49"/>
      <c r="AU555" s="49"/>
      <c r="AV555" s="49"/>
      <c r="AW555" s="49"/>
      <c r="AX555" s="49"/>
      <c r="AY555" s="49"/>
      <c r="AZ555" s="73">
        <f t="shared" si="129"/>
        <v>0</v>
      </c>
    </row>
    <row r="556" spans="1:54" ht="20.100000000000001" hidden="1" customHeight="1">
      <c r="A556" s="68"/>
      <c r="B556" s="69"/>
      <c r="C556" s="240" t="s">
        <v>758</v>
      </c>
      <c r="D556" s="240"/>
      <c r="E556" s="241"/>
      <c r="F556" s="70"/>
      <c r="G556" s="71"/>
      <c r="H556" s="71"/>
      <c r="I556" s="71"/>
      <c r="J556" s="240" t="s">
        <v>147</v>
      </c>
      <c r="K556" s="241"/>
      <c r="L556" s="49">
        <v>6572000</v>
      </c>
      <c r="M556" s="49">
        <v>6572000</v>
      </c>
      <c r="N556" s="49">
        <v>6572000</v>
      </c>
      <c r="O556" s="49"/>
      <c r="P556" s="49"/>
      <c r="Q556" s="49">
        <f>SUM(N556:P556)</f>
        <v>6572000</v>
      </c>
      <c r="R556" s="72">
        <f>Q556/M556*100</f>
        <v>100</v>
      </c>
      <c r="S556" s="49">
        <f>M556-Q556</f>
        <v>0</v>
      </c>
      <c r="T556" s="49">
        <v>0</v>
      </c>
      <c r="U556" s="49">
        <f>T556+M556</f>
        <v>6572000</v>
      </c>
      <c r="V556" s="49">
        <f>T556+S556</f>
        <v>0</v>
      </c>
      <c r="W556" s="49"/>
      <c r="X556" s="49"/>
      <c r="Y556" s="49"/>
      <c r="Z556" s="49"/>
      <c r="AA556" s="49">
        <v>0</v>
      </c>
      <c r="AB556" s="49">
        <v>6572000</v>
      </c>
      <c r="AC556" s="49">
        <f t="shared" si="118"/>
        <v>0</v>
      </c>
      <c r="AD556" s="49">
        <f>AA556+T556+M556</f>
        <v>6572000</v>
      </c>
      <c r="AE556" s="49"/>
      <c r="AF556" s="49"/>
      <c r="AG556" s="49"/>
      <c r="AH556" s="49"/>
      <c r="AI556" s="49"/>
      <c r="AJ556" s="49"/>
      <c r="AK556" s="49">
        <f>Z556+Y556+X556+W556+N556+AG556+AE556+AJ556+AI556+AH556</f>
        <v>6572000</v>
      </c>
      <c r="AL556" s="49">
        <f>AK556/AD556*100</f>
        <v>100</v>
      </c>
      <c r="AM556" s="49"/>
      <c r="AN556" s="49"/>
      <c r="AO556" s="49"/>
      <c r="AP556" s="42"/>
      <c r="AQ556" s="49">
        <f>AK556+AM556+AN556+AO556+AP556</f>
        <v>6572000</v>
      </c>
      <c r="AR556" s="49">
        <f>AQ556/AB556*100</f>
        <v>100</v>
      </c>
      <c r="AS556" s="49">
        <f t="shared" si="126"/>
        <v>0</v>
      </c>
      <c r="AT556" s="49">
        <v>3091500</v>
      </c>
      <c r="AU556" s="49">
        <f>AT556+U556</f>
        <v>9663500</v>
      </c>
      <c r="AV556" s="49">
        <f>AK556</f>
        <v>6572000</v>
      </c>
      <c r="AW556" s="72">
        <f>AV556/AU556*100</f>
        <v>68.008485538366017</v>
      </c>
      <c r="AX556" s="49">
        <f>AU556-AV556</f>
        <v>3091500</v>
      </c>
      <c r="AY556" s="49">
        <f t="shared" si="127"/>
        <v>0</v>
      </c>
      <c r="AZ556" s="73">
        <f t="shared" si="129"/>
        <v>6572000</v>
      </c>
    </row>
    <row r="557" spans="1:54" ht="20.100000000000001" hidden="1" customHeight="1">
      <c r="A557" s="68"/>
      <c r="B557" s="69"/>
      <c r="C557" s="240" t="s">
        <v>759</v>
      </c>
      <c r="D557" s="240"/>
      <c r="E557" s="241"/>
      <c r="F557" s="70"/>
      <c r="G557" s="71"/>
      <c r="H557" s="71"/>
      <c r="I557" s="240" t="s">
        <v>163</v>
      </c>
      <c r="J557" s="240"/>
      <c r="K557" s="241"/>
      <c r="L557" s="49"/>
      <c r="M557" s="49"/>
      <c r="N557" s="49"/>
      <c r="O557" s="49"/>
      <c r="P557" s="49"/>
      <c r="Q557" s="49"/>
      <c r="R557" s="72"/>
      <c r="S557" s="49"/>
      <c r="T557" s="49"/>
      <c r="U557" s="49"/>
      <c r="V557" s="49"/>
      <c r="W557" s="49"/>
      <c r="X557" s="49"/>
      <c r="Y557" s="49"/>
      <c r="Z557" s="49"/>
      <c r="AA557" s="49"/>
      <c r="AB557" s="49"/>
      <c r="AC557" s="49">
        <f t="shared" si="118"/>
        <v>0</v>
      </c>
      <c r="AD557" s="49"/>
      <c r="AE557" s="49"/>
      <c r="AF557" s="49"/>
      <c r="AG557" s="49"/>
      <c r="AH557" s="49"/>
      <c r="AI557" s="49"/>
      <c r="AJ557" s="49"/>
      <c r="AK557" s="49"/>
      <c r="AL557" s="49"/>
      <c r="AM557" s="49"/>
      <c r="AN557" s="49"/>
      <c r="AO557" s="49"/>
      <c r="AP557" s="42"/>
      <c r="AQ557" s="49"/>
      <c r="AR557" s="49"/>
      <c r="AS557" s="49"/>
      <c r="AT557" s="49"/>
      <c r="AU557" s="49"/>
      <c r="AV557" s="49"/>
      <c r="AW557" s="49"/>
      <c r="AX557" s="49"/>
      <c r="AY557" s="49"/>
      <c r="AZ557" s="73">
        <f t="shared" si="129"/>
        <v>0</v>
      </c>
    </row>
    <row r="558" spans="1:54" ht="20.100000000000001" hidden="1" customHeight="1">
      <c r="A558" s="68"/>
      <c r="B558" s="69"/>
      <c r="C558" s="240" t="s">
        <v>760</v>
      </c>
      <c r="D558" s="240"/>
      <c r="E558" s="241"/>
      <c r="F558" s="70"/>
      <c r="G558" s="71"/>
      <c r="H558" s="71"/>
      <c r="I558" s="71"/>
      <c r="J558" s="240" t="s">
        <v>349</v>
      </c>
      <c r="K558" s="241"/>
      <c r="L558" s="49">
        <v>7375000</v>
      </c>
      <c r="M558" s="49">
        <v>0</v>
      </c>
      <c r="N558" s="49"/>
      <c r="O558" s="49"/>
      <c r="P558" s="49"/>
      <c r="Q558" s="49">
        <f>SUM(N558:P558)</f>
        <v>0</v>
      </c>
      <c r="R558" s="72"/>
      <c r="S558" s="49">
        <f>M558-Q558</f>
        <v>0</v>
      </c>
      <c r="T558" s="49">
        <v>5500000</v>
      </c>
      <c r="U558" s="49">
        <f>T558+M558</f>
        <v>5500000</v>
      </c>
      <c r="V558" s="49">
        <f>T558+S558</f>
        <v>5500000</v>
      </c>
      <c r="W558" s="49">
        <v>5500000</v>
      </c>
      <c r="X558" s="49"/>
      <c r="Y558" s="49"/>
      <c r="Z558" s="49"/>
      <c r="AA558" s="49">
        <v>1875000</v>
      </c>
      <c r="AB558" s="49">
        <v>7375000</v>
      </c>
      <c r="AC558" s="49">
        <f t="shared" si="118"/>
        <v>0</v>
      </c>
      <c r="AD558" s="49">
        <f>AA558+T558+M558</f>
        <v>7375000</v>
      </c>
      <c r="AE558" s="49"/>
      <c r="AF558" s="49"/>
      <c r="AG558" s="49">
        <v>0</v>
      </c>
      <c r="AH558" s="49"/>
      <c r="AI558" s="49">
        <v>0</v>
      </c>
      <c r="AJ558" s="49">
        <v>0</v>
      </c>
      <c r="AK558" s="49">
        <f>Z558+Y558+X558+W558+N558+AG558+AE558+AJ558+AI558+AH558</f>
        <v>5500000</v>
      </c>
      <c r="AL558" s="49">
        <f>AK558/AD558*100</f>
        <v>74.576271186440678</v>
      </c>
      <c r="AM558" s="49"/>
      <c r="AN558" s="49"/>
      <c r="AO558" s="49"/>
      <c r="AP558" s="42">
        <v>1875000</v>
      </c>
      <c r="AQ558" s="49">
        <f>AK558+AM558+AN558+AO558+AP558</f>
        <v>7375000</v>
      </c>
      <c r="AR558" s="49">
        <f>AQ558/AB558*100</f>
        <v>100</v>
      </c>
      <c r="AS558" s="49">
        <f t="shared" si="126"/>
        <v>0</v>
      </c>
      <c r="AT558" s="49">
        <v>3091500</v>
      </c>
      <c r="AU558" s="49">
        <f>AT558+U558</f>
        <v>8591500</v>
      </c>
      <c r="AV558" s="49">
        <f>AK558</f>
        <v>5500000</v>
      </c>
      <c r="AW558" s="72">
        <f>AV558/AU558*100</f>
        <v>64.016760751905949</v>
      </c>
      <c r="AX558" s="49">
        <f>AU558-AV558</f>
        <v>3091500</v>
      </c>
      <c r="AY558" s="49">
        <f t="shared" si="127"/>
        <v>0</v>
      </c>
      <c r="AZ558" s="73">
        <f t="shared" si="129"/>
        <v>7375000</v>
      </c>
    </row>
    <row r="559" spans="1:54" ht="20.100000000000001" hidden="1" customHeight="1">
      <c r="A559" s="68"/>
      <c r="B559" s="69"/>
      <c r="C559" s="240" t="s">
        <v>761</v>
      </c>
      <c r="D559" s="240"/>
      <c r="E559" s="241"/>
      <c r="F559" s="70"/>
      <c r="G559" s="71"/>
      <c r="H559" s="71"/>
      <c r="I559" s="71"/>
      <c r="J559" s="240" t="s">
        <v>352</v>
      </c>
      <c r="K559" s="241"/>
      <c r="L559" s="49">
        <v>2520000</v>
      </c>
      <c r="M559" s="49">
        <v>0</v>
      </c>
      <c r="N559" s="49"/>
      <c r="O559" s="49"/>
      <c r="P559" s="49"/>
      <c r="Q559" s="49">
        <f>SUM(N559:P559)</f>
        <v>0</v>
      </c>
      <c r="R559" s="72"/>
      <c r="S559" s="49">
        <f>M559-Q559</f>
        <v>0</v>
      </c>
      <c r="T559" s="49">
        <v>0</v>
      </c>
      <c r="U559" s="49">
        <f>T559+M559</f>
        <v>0</v>
      </c>
      <c r="V559" s="49">
        <f>T559+S559</f>
        <v>0</v>
      </c>
      <c r="W559" s="49"/>
      <c r="X559" s="49"/>
      <c r="Y559" s="49"/>
      <c r="Z559" s="49"/>
      <c r="AA559" s="49">
        <v>2520000</v>
      </c>
      <c r="AB559" s="49">
        <v>2520000</v>
      </c>
      <c r="AC559" s="49">
        <f t="shared" si="118"/>
        <v>0</v>
      </c>
      <c r="AD559" s="49">
        <f>AA559+T559+M559</f>
        <v>2520000</v>
      </c>
      <c r="AE559" s="49"/>
      <c r="AF559" s="49"/>
      <c r="AG559" s="49"/>
      <c r="AH559" s="49"/>
      <c r="AI559" s="49"/>
      <c r="AJ559" s="49"/>
      <c r="AK559" s="49">
        <f>Z559+Y559+X559+W559+N559+AG559+AE559+AJ559+AI559+AH559</f>
        <v>0</v>
      </c>
      <c r="AL559" s="49">
        <f>AK559/AD559*100</f>
        <v>0</v>
      </c>
      <c r="AM559" s="49"/>
      <c r="AN559" s="49"/>
      <c r="AO559" s="49"/>
      <c r="AP559" s="42">
        <v>2520000</v>
      </c>
      <c r="AQ559" s="49">
        <f>AK559+AM559+AN559+AO559+AP559</f>
        <v>2520000</v>
      </c>
      <c r="AR559" s="49">
        <f>AQ559/AB559*100</f>
        <v>100</v>
      </c>
      <c r="AS559" s="49">
        <f t="shared" si="126"/>
        <v>0</v>
      </c>
      <c r="AT559" s="49">
        <v>3091500</v>
      </c>
      <c r="AU559" s="49">
        <f>AT559+U559</f>
        <v>3091500</v>
      </c>
      <c r="AV559" s="49">
        <f>AK559</f>
        <v>0</v>
      </c>
      <c r="AW559" s="72">
        <f>AV559/AU559*100</f>
        <v>0</v>
      </c>
      <c r="AX559" s="49">
        <f>AU559-AV559</f>
        <v>3091500</v>
      </c>
      <c r="AY559" s="49">
        <f t="shared" si="127"/>
        <v>0</v>
      </c>
      <c r="AZ559" s="73">
        <f t="shared" si="129"/>
        <v>2520000</v>
      </c>
      <c r="BB559" s="29">
        <f>AS560</f>
        <v>41000000</v>
      </c>
    </row>
    <row r="560" spans="1:54" ht="20.100000000000001" hidden="1" customHeight="1">
      <c r="A560" s="68"/>
      <c r="B560" s="69"/>
      <c r="C560" s="240" t="s">
        <v>762</v>
      </c>
      <c r="D560" s="240"/>
      <c r="E560" s="241"/>
      <c r="F560" s="70"/>
      <c r="G560" s="71"/>
      <c r="H560" s="71"/>
      <c r="I560" s="71"/>
      <c r="J560" s="240" t="s">
        <v>763</v>
      </c>
      <c r="K560" s="241"/>
      <c r="L560" s="49">
        <v>41000000</v>
      </c>
      <c r="M560" s="49">
        <v>0</v>
      </c>
      <c r="N560" s="49"/>
      <c r="O560" s="49"/>
      <c r="P560" s="49"/>
      <c r="Q560" s="49">
        <f>SUM(N560:P560)</f>
        <v>0</v>
      </c>
      <c r="R560" s="72"/>
      <c r="S560" s="49">
        <f>M560-Q560</f>
        <v>0</v>
      </c>
      <c r="T560" s="49">
        <v>0</v>
      </c>
      <c r="U560" s="49">
        <f>T560+M560</f>
        <v>0</v>
      </c>
      <c r="V560" s="49">
        <f>T560+S560</f>
        <v>0</v>
      </c>
      <c r="W560" s="49"/>
      <c r="X560" s="49"/>
      <c r="Y560" s="49"/>
      <c r="Z560" s="49"/>
      <c r="AA560" s="49">
        <v>0</v>
      </c>
      <c r="AB560" s="49">
        <v>41000000</v>
      </c>
      <c r="AC560" s="49">
        <f t="shared" si="118"/>
        <v>0</v>
      </c>
      <c r="AD560" s="49">
        <f>AA560+T560+M560</f>
        <v>0</v>
      </c>
      <c r="AE560" s="49"/>
      <c r="AF560" s="49"/>
      <c r="AG560" s="49"/>
      <c r="AH560" s="49"/>
      <c r="AI560" s="49"/>
      <c r="AJ560" s="49"/>
      <c r="AK560" s="49">
        <f>Z560+Y560+X560+W560+N560+AG560+AE560+AJ560+AI560+AH560</f>
        <v>0</v>
      </c>
      <c r="AL560" s="49" t="e">
        <f>AK560/AD560*100</f>
        <v>#DIV/0!</v>
      </c>
      <c r="AM560" s="49"/>
      <c r="AN560" s="49"/>
      <c r="AO560" s="49"/>
      <c r="AP560" s="42"/>
      <c r="AQ560" s="49">
        <f>AK560+AM560+AN560+AO560+AP560</f>
        <v>0</v>
      </c>
      <c r="AR560" s="49">
        <f>AQ560/AB560*100</f>
        <v>0</v>
      </c>
      <c r="AS560" s="49">
        <f t="shared" si="126"/>
        <v>41000000</v>
      </c>
      <c r="AT560" s="49">
        <v>3091500</v>
      </c>
      <c r="AU560" s="49">
        <f>AT560+U560</f>
        <v>3091500</v>
      </c>
      <c r="AV560" s="49">
        <f>AK560</f>
        <v>0</v>
      </c>
      <c r="AW560" s="72">
        <f>AV560/AU560*100</f>
        <v>0</v>
      </c>
      <c r="AX560" s="49">
        <f>AU560-AV560</f>
        <v>3091500</v>
      </c>
      <c r="AY560" s="49">
        <f t="shared" si="127"/>
        <v>100</v>
      </c>
      <c r="AZ560" s="73">
        <f t="shared" si="129"/>
        <v>0</v>
      </c>
    </row>
    <row r="561" spans="1:53" ht="20.100000000000001" hidden="1" customHeight="1">
      <c r="A561" s="68"/>
      <c r="B561" s="69"/>
      <c r="C561" s="240" t="s">
        <v>764</v>
      </c>
      <c r="D561" s="240"/>
      <c r="E561" s="241"/>
      <c r="F561" s="70"/>
      <c r="G561" s="71"/>
      <c r="H561" s="71"/>
      <c r="I561" s="71"/>
      <c r="J561" s="240" t="s">
        <v>765</v>
      </c>
      <c r="K561" s="241"/>
      <c r="L561" s="49">
        <v>350000</v>
      </c>
      <c r="M561" s="49">
        <v>0</v>
      </c>
      <c r="N561" s="49"/>
      <c r="O561" s="49"/>
      <c r="P561" s="49"/>
      <c r="Q561" s="49">
        <f>SUM(N561:P561)</f>
        <v>0</v>
      </c>
      <c r="R561" s="72"/>
      <c r="S561" s="49">
        <f>M561-Q561</f>
        <v>0</v>
      </c>
      <c r="T561" s="49">
        <v>350000</v>
      </c>
      <c r="U561" s="49">
        <f>T561+M561</f>
        <v>350000</v>
      </c>
      <c r="V561" s="49">
        <f>T561+S561</f>
        <v>350000</v>
      </c>
      <c r="W561" s="49">
        <v>350000</v>
      </c>
      <c r="X561" s="49"/>
      <c r="Y561" s="49"/>
      <c r="Z561" s="49"/>
      <c r="AA561" s="49">
        <v>0</v>
      </c>
      <c r="AB561" s="49">
        <v>350000</v>
      </c>
      <c r="AC561" s="49">
        <f t="shared" si="118"/>
        <v>0</v>
      </c>
      <c r="AD561" s="49">
        <f>AA561+T561+M561</f>
        <v>350000</v>
      </c>
      <c r="AE561" s="49"/>
      <c r="AF561" s="49"/>
      <c r="AG561" s="49">
        <v>0</v>
      </c>
      <c r="AH561" s="49"/>
      <c r="AI561" s="49">
        <v>0</v>
      </c>
      <c r="AJ561" s="49">
        <v>0</v>
      </c>
      <c r="AK561" s="49">
        <f>Z561+Y561+X561+W561+N561+AG561+AE561+AJ561+AI561+AH561</f>
        <v>350000</v>
      </c>
      <c r="AL561" s="49">
        <f>AK561/AD561*100</f>
        <v>100</v>
      </c>
      <c r="AM561" s="49"/>
      <c r="AN561" s="49"/>
      <c r="AO561" s="49"/>
      <c r="AP561" s="42"/>
      <c r="AQ561" s="49">
        <f>AK561+AM561+AN561+AO561+AP561</f>
        <v>350000</v>
      </c>
      <c r="AR561" s="49">
        <f>AQ561/AB561*100</f>
        <v>100</v>
      </c>
      <c r="AS561" s="49">
        <f t="shared" si="126"/>
        <v>0</v>
      </c>
      <c r="AT561" s="49">
        <v>3091500</v>
      </c>
      <c r="AU561" s="49">
        <f>AT561+U561</f>
        <v>3441500</v>
      </c>
      <c r="AV561" s="49">
        <f>AK561</f>
        <v>350000</v>
      </c>
      <c r="AW561" s="72">
        <f>AV561/AU561*100</f>
        <v>10.169984018596542</v>
      </c>
      <c r="AX561" s="49">
        <f>AU561-AV561</f>
        <v>3091500</v>
      </c>
      <c r="AY561" s="49">
        <f t="shared" si="127"/>
        <v>0</v>
      </c>
      <c r="AZ561" s="73">
        <f t="shared" si="129"/>
        <v>350000</v>
      </c>
    </row>
    <row r="562" spans="1:53" ht="20.100000000000001" hidden="1" customHeight="1">
      <c r="A562" s="68"/>
      <c r="B562" s="69"/>
      <c r="C562" s="240" t="s">
        <v>766</v>
      </c>
      <c r="D562" s="240"/>
      <c r="E562" s="241"/>
      <c r="F562" s="70"/>
      <c r="G562" s="71"/>
      <c r="H562" s="71"/>
      <c r="I562" s="240" t="s">
        <v>151</v>
      </c>
      <c r="J562" s="240"/>
      <c r="K562" s="241"/>
      <c r="L562" s="49"/>
      <c r="M562" s="49"/>
      <c r="N562" s="49"/>
      <c r="O562" s="49"/>
      <c r="P562" s="49"/>
      <c r="Q562" s="49"/>
      <c r="R562" s="72"/>
      <c r="S562" s="49"/>
      <c r="T562" s="49"/>
      <c r="U562" s="49"/>
      <c r="V562" s="49"/>
      <c r="W562" s="49"/>
      <c r="X562" s="49"/>
      <c r="Y562" s="49"/>
      <c r="Z562" s="49"/>
      <c r="AA562" s="49"/>
      <c r="AB562" s="49"/>
      <c r="AC562" s="49">
        <f t="shared" si="118"/>
        <v>0</v>
      </c>
      <c r="AD562" s="49"/>
      <c r="AE562" s="49"/>
      <c r="AF562" s="49"/>
      <c r="AG562" s="49"/>
      <c r="AH562" s="49"/>
      <c r="AI562" s="49"/>
      <c r="AJ562" s="49"/>
      <c r="AK562" s="49"/>
      <c r="AL562" s="49"/>
      <c r="AM562" s="49"/>
      <c r="AN562" s="49"/>
      <c r="AO562" s="49"/>
      <c r="AP562" s="42"/>
      <c r="AQ562" s="49"/>
      <c r="AR562" s="49"/>
      <c r="AS562" s="49"/>
      <c r="AT562" s="49"/>
      <c r="AU562" s="49"/>
      <c r="AV562" s="49"/>
      <c r="AW562" s="49"/>
      <c r="AX562" s="49"/>
      <c r="AY562" s="49"/>
      <c r="AZ562" s="73">
        <f t="shared" si="129"/>
        <v>0</v>
      </c>
    </row>
    <row r="563" spans="1:53" ht="20.100000000000001" hidden="1" customHeight="1">
      <c r="A563" s="68"/>
      <c r="B563" s="69"/>
      <c r="C563" s="240" t="s">
        <v>767</v>
      </c>
      <c r="D563" s="240"/>
      <c r="E563" s="241"/>
      <c r="F563" s="70"/>
      <c r="G563" s="71"/>
      <c r="H563" s="71"/>
      <c r="I563" s="71"/>
      <c r="J563" s="240" t="s">
        <v>153</v>
      </c>
      <c r="K563" s="241"/>
      <c r="L563" s="49">
        <v>1500000</v>
      </c>
      <c r="M563" s="49">
        <v>0</v>
      </c>
      <c r="N563" s="49"/>
      <c r="O563" s="49"/>
      <c r="P563" s="49"/>
      <c r="Q563" s="49">
        <f>SUM(N563:P563)</f>
        <v>0</v>
      </c>
      <c r="R563" s="72"/>
      <c r="S563" s="49">
        <f>M563-Q563</f>
        <v>0</v>
      </c>
      <c r="T563" s="49">
        <v>1500000</v>
      </c>
      <c r="U563" s="49">
        <f>T563+M563</f>
        <v>1500000</v>
      </c>
      <c r="V563" s="49">
        <f>T563+S563</f>
        <v>1500000</v>
      </c>
      <c r="W563" s="49">
        <v>1500000</v>
      </c>
      <c r="X563" s="49"/>
      <c r="Y563" s="49"/>
      <c r="Z563" s="49"/>
      <c r="AA563" s="49">
        <v>0</v>
      </c>
      <c r="AB563" s="49">
        <v>1500000</v>
      </c>
      <c r="AC563" s="49">
        <f t="shared" si="118"/>
        <v>0</v>
      </c>
      <c r="AD563" s="49">
        <f>AA563+T563+M563</f>
        <v>1500000</v>
      </c>
      <c r="AE563" s="49"/>
      <c r="AF563" s="49"/>
      <c r="AG563" s="49">
        <v>0</v>
      </c>
      <c r="AH563" s="49"/>
      <c r="AI563" s="49">
        <v>0</v>
      </c>
      <c r="AJ563" s="49">
        <v>0</v>
      </c>
      <c r="AK563" s="49">
        <f>Z563+Y563+X563+W563+N563+AG563+AE563+AJ563+AI563+AH563</f>
        <v>1500000</v>
      </c>
      <c r="AL563" s="49">
        <f>AK563/AD563*100</f>
        <v>100</v>
      </c>
      <c r="AM563" s="49"/>
      <c r="AN563" s="49"/>
      <c r="AO563" s="49"/>
      <c r="AP563" s="42"/>
      <c r="AQ563" s="49">
        <f>AK563+AM563+AN563+AO563+AP563</f>
        <v>1500000</v>
      </c>
      <c r="AR563" s="49">
        <f>AQ563/AB563*100</f>
        <v>100</v>
      </c>
      <c r="AS563" s="49">
        <f t="shared" si="126"/>
        <v>0</v>
      </c>
      <c r="AT563" s="49">
        <v>3091500</v>
      </c>
      <c r="AU563" s="49">
        <f>AT563+U563</f>
        <v>4591500</v>
      </c>
      <c r="AV563" s="49">
        <f>AK563</f>
        <v>1500000</v>
      </c>
      <c r="AW563" s="72">
        <f>AV563/AU563*100</f>
        <v>32.66906239790918</v>
      </c>
      <c r="AX563" s="49">
        <f>AU563-AV563</f>
        <v>3091500</v>
      </c>
      <c r="AY563" s="49">
        <f t="shared" si="127"/>
        <v>0</v>
      </c>
      <c r="AZ563" s="73">
        <f t="shared" si="129"/>
        <v>1500000</v>
      </c>
    </row>
    <row r="564" spans="1:53" ht="20.100000000000001" hidden="1" customHeight="1">
      <c r="A564" s="68"/>
      <c r="B564" s="69"/>
      <c r="C564" s="240" t="s">
        <v>768</v>
      </c>
      <c r="D564" s="240"/>
      <c r="E564" s="241"/>
      <c r="F564" s="70"/>
      <c r="G564" s="71"/>
      <c r="H564" s="71"/>
      <c r="I564" s="71"/>
      <c r="J564" s="240" t="s">
        <v>155</v>
      </c>
      <c r="K564" s="241"/>
      <c r="L564" s="49">
        <v>315000</v>
      </c>
      <c r="M564" s="49">
        <v>0</v>
      </c>
      <c r="N564" s="49"/>
      <c r="O564" s="49"/>
      <c r="P564" s="49"/>
      <c r="Q564" s="49">
        <f>SUM(N564:P564)</f>
        <v>0</v>
      </c>
      <c r="R564" s="72"/>
      <c r="S564" s="49">
        <f>M564-Q564</f>
        <v>0</v>
      </c>
      <c r="T564" s="49">
        <v>315000</v>
      </c>
      <c r="U564" s="49">
        <f>T564+M564</f>
        <v>315000</v>
      </c>
      <c r="V564" s="49">
        <f>T564+S564</f>
        <v>315000</v>
      </c>
      <c r="W564" s="49">
        <v>175000</v>
      </c>
      <c r="X564" s="49"/>
      <c r="Y564" s="49"/>
      <c r="Z564" s="49"/>
      <c r="AA564" s="49">
        <v>0</v>
      </c>
      <c r="AB564" s="49">
        <v>315000</v>
      </c>
      <c r="AC564" s="49">
        <f t="shared" ref="AC564:AC627" si="131">AB564-L564</f>
        <v>0</v>
      </c>
      <c r="AD564" s="49">
        <f>AA564+T564+M564</f>
        <v>315000</v>
      </c>
      <c r="AE564" s="49"/>
      <c r="AF564" s="49"/>
      <c r="AG564" s="49">
        <v>0</v>
      </c>
      <c r="AH564" s="49"/>
      <c r="AI564" s="49">
        <v>0</v>
      </c>
      <c r="AJ564" s="49">
        <v>0</v>
      </c>
      <c r="AK564" s="49">
        <f>Z564+Y564+X564+W564+N564+AG564+AE564+AJ564+AI564+AH564</f>
        <v>175000</v>
      </c>
      <c r="AL564" s="49">
        <f>AK564/AD564*100</f>
        <v>55.555555555555557</v>
      </c>
      <c r="AM564" s="49"/>
      <c r="AN564" s="49"/>
      <c r="AO564" s="49"/>
      <c r="AP564" s="42">
        <v>140000</v>
      </c>
      <c r="AQ564" s="49">
        <f>AK564+AM564+AN564+AO564+AP564</f>
        <v>315000</v>
      </c>
      <c r="AR564" s="49">
        <f>AQ564/AB564*100</f>
        <v>100</v>
      </c>
      <c r="AS564" s="49">
        <f t="shared" si="126"/>
        <v>0</v>
      </c>
      <c r="AT564" s="49">
        <v>3091500</v>
      </c>
      <c r="AU564" s="49">
        <f>AT564+U564</f>
        <v>3406500</v>
      </c>
      <c r="AV564" s="49">
        <f>AK564</f>
        <v>175000</v>
      </c>
      <c r="AW564" s="72">
        <f>AV564/AU564*100</f>
        <v>5.1372376339351238</v>
      </c>
      <c r="AX564" s="49">
        <f>AU564-AV564</f>
        <v>3231500</v>
      </c>
      <c r="AY564" s="49">
        <f t="shared" si="127"/>
        <v>0</v>
      </c>
      <c r="AZ564" s="73">
        <f t="shared" si="129"/>
        <v>315000</v>
      </c>
    </row>
    <row r="565" spans="1:53" ht="20.100000000000001" hidden="1" customHeight="1">
      <c r="A565" s="68"/>
      <c r="B565" s="69"/>
      <c r="C565" s="240" t="s">
        <v>769</v>
      </c>
      <c r="D565" s="240"/>
      <c r="E565" s="241"/>
      <c r="F565" s="70"/>
      <c r="G565" s="71"/>
      <c r="H565" s="71"/>
      <c r="I565" s="240" t="s">
        <v>712</v>
      </c>
      <c r="J565" s="240"/>
      <c r="K565" s="241"/>
      <c r="L565" s="49"/>
      <c r="M565" s="49"/>
      <c r="N565" s="49"/>
      <c r="O565" s="49"/>
      <c r="P565" s="49"/>
      <c r="Q565" s="49"/>
      <c r="R565" s="72"/>
      <c r="S565" s="49"/>
      <c r="T565" s="49"/>
      <c r="U565" s="49"/>
      <c r="V565" s="49"/>
      <c r="W565" s="49"/>
      <c r="X565" s="49" t="s">
        <v>770</v>
      </c>
      <c r="Y565" s="49"/>
      <c r="Z565" s="49"/>
      <c r="AA565" s="49"/>
      <c r="AB565" s="49"/>
      <c r="AC565" s="49">
        <f t="shared" si="131"/>
        <v>0</v>
      </c>
      <c r="AD565" s="49"/>
      <c r="AE565" s="49"/>
      <c r="AF565" s="49"/>
      <c r="AG565" s="49"/>
      <c r="AH565" s="49"/>
      <c r="AI565" s="49"/>
      <c r="AJ565" s="49"/>
      <c r="AK565" s="49"/>
      <c r="AL565" s="49"/>
      <c r="AM565" s="49"/>
      <c r="AN565" s="49"/>
      <c r="AO565" s="49"/>
      <c r="AP565" s="42"/>
      <c r="AQ565" s="49"/>
      <c r="AR565" s="49"/>
      <c r="AS565" s="49"/>
      <c r="AT565" s="49"/>
      <c r="AU565" s="49"/>
      <c r="AV565" s="49"/>
      <c r="AW565" s="49"/>
      <c r="AX565" s="49"/>
      <c r="AY565" s="49"/>
      <c r="AZ565" s="73">
        <f t="shared" si="129"/>
        <v>0</v>
      </c>
    </row>
    <row r="566" spans="1:53" ht="20.100000000000001" hidden="1" customHeight="1">
      <c r="A566" s="68"/>
      <c r="B566" s="69"/>
      <c r="C566" s="240" t="s">
        <v>771</v>
      </c>
      <c r="D566" s="240"/>
      <c r="E566" s="241"/>
      <c r="F566" s="70"/>
      <c r="G566" s="71"/>
      <c r="H566" s="71"/>
      <c r="I566" s="71"/>
      <c r="J566" s="240" t="s">
        <v>714</v>
      </c>
      <c r="K566" s="241"/>
      <c r="L566" s="49">
        <v>49000000</v>
      </c>
      <c r="M566" s="49">
        <v>0</v>
      </c>
      <c r="N566" s="49"/>
      <c r="O566" s="49"/>
      <c r="P566" s="49"/>
      <c r="Q566" s="49">
        <f>SUM(N566:P566)</f>
        <v>0</v>
      </c>
      <c r="R566" s="72"/>
      <c r="S566" s="49">
        <f>M566-Q566</f>
        <v>0</v>
      </c>
      <c r="T566" s="49">
        <v>49000000</v>
      </c>
      <c r="U566" s="49">
        <f>T566+M566</f>
        <v>49000000</v>
      </c>
      <c r="V566" s="49">
        <f>T566+S566</f>
        <v>49000000</v>
      </c>
      <c r="W566" s="49"/>
      <c r="X566" s="49">
        <f>29000000+16000000</f>
        <v>45000000</v>
      </c>
      <c r="Y566" s="49"/>
      <c r="Z566" s="49"/>
      <c r="AA566" s="49">
        <v>0</v>
      </c>
      <c r="AB566" s="49">
        <v>49000000</v>
      </c>
      <c r="AC566" s="49">
        <f t="shared" si="131"/>
        <v>0</v>
      </c>
      <c r="AD566" s="49">
        <f>AA566+T566+M566</f>
        <v>49000000</v>
      </c>
      <c r="AE566" s="49"/>
      <c r="AF566" s="49"/>
      <c r="AG566" s="49"/>
      <c r="AH566" s="49"/>
      <c r="AI566" s="49"/>
      <c r="AJ566" s="49"/>
      <c r="AK566" s="49">
        <f>Z566+Y566+X566+W566+N566+AG566+AE566+AJ566+AI566+AH566</f>
        <v>45000000</v>
      </c>
      <c r="AL566" s="49">
        <f>AK566/AD566*100</f>
        <v>91.83673469387756</v>
      </c>
      <c r="AM566" s="49"/>
      <c r="AN566" s="49"/>
      <c r="AO566" s="49"/>
      <c r="AP566" s="42">
        <v>0</v>
      </c>
      <c r="AQ566" s="49">
        <f>AK566+AM566+AN566+AO566+AP566</f>
        <v>45000000</v>
      </c>
      <c r="AR566" s="49">
        <f>AQ566/AB566*100</f>
        <v>91.83673469387756</v>
      </c>
      <c r="AS566" s="49">
        <f t="shared" si="126"/>
        <v>4000000</v>
      </c>
      <c r="AT566" s="49">
        <v>3091500</v>
      </c>
      <c r="AU566" s="49">
        <f>AT566+U566</f>
        <v>52091500</v>
      </c>
      <c r="AV566" s="49">
        <f>AK566</f>
        <v>45000000</v>
      </c>
      <c r="AW566" s="72">
        <f>AV566/AU566*100</f>
        <v>86.386454603918111</v>
      </c>
      <c r="AX566" s="49">
        <f>AU566-AV566</f>
        <v>7091500</v>
      </c>
      <c r="AY566" s="49">
        <f t="shared" si="127"/>
        <v>8.1632653061224492</v>
      </c>
      <c r="AZ566" s="73">
        <f t="shared" si="129"/>
        <v>45000000</v>
      </c>
      <c r="BA566" s="29">
        <f>AS566</f>
        <v>4000000</v>
      </c>
    </row>
    <row r="567" spans="1:53" ht="20.100000000000001" hidden="1" customHeight="1">
      <c r="A567" s="68"/>
      <c r="B567" s="69"/>
      <c r="C567" s="240" t="s">
        <v>772</v>
      </c>
      <c r="D567" s="240"/>
      <c r="E567" s="241"/>
      <c r="F567" s="70"/>
      <c r="G567" s="71"/>
      <c r="H567" s="71"/>
      <c r="I567" s="240" t="s">
        <v>328</v>
      </c>
      <c r="J567" s="240"/>
      <c r="K567" s="241"/>
      <c r="L567" s="49"/>
      <c r="M567" s="49"/>
      <c r="N567" s="49"/>
      <c r="O567" s="49"/>
      <c r="P567" s="49"/>
      <c r="Q567" s="49"/>
      <c r="R567" s="72"/>
      <c r="S567" s="49"/>
      <c r="T567" s="49"/>
      <c r="U567" s="49"/>
      <c r="V567" s="49"/>
      <c r="W567" s="49"/>
      <c r="X567" s="49"/>
      <c r="Y567" s="49"/>
      <c r="Z567" s="49"/>
      <c r="AA567" s="49"/>
      <c r="AB567" s="49"/>
      <c r="AC567" s="49">
        <f t="shared" si="131"/>
        <v>0</v>
      </c>
      <c r="AD567" s="49"/>
      <c r="AE567" s="49"/>
      <c r="AF567" s="49"/>
      <c r="AG567" s="49"/>
      <c r="AH567" s="49"/>
      <c r="AI567" s="49"/>
      <c r="AJ567" s="49"/>
      <c r="AK567" s="49"/>
      <c r="AL567" s="49"/>
      <c r="AM567" s="49"/>
      <c r="AN567" s="49"/>
      <c r="AO567" s="49"/>
      <c r="AP567" s="42"/>
      <c r="AQ567" s="49"/>
      <c r="AR567" s="49"/>
      <c r="AS567" s="49"/>
      <c r="AT567" s="49"/>
      <c r="AU567" s="49"/>
      <c r="AV567" s="49"/>
      <c r="AW567" s="49"/>
      <c r="AX567" s="49"/>
      <c r="AY567" s="49"/>
      <c r="AZ567" s="73">
        <f t="shared" si="129"/>
        <v>0</v>
      </c>
    </row>
    <row r="568" spans="1:53" ht="20.100000000000001" hidden="1" customHeight="1">
      <c r="A568" s="68"/>
      <c r="B568" s="69"/>
      <c r="C568" s="240" t="s">
        <v>773</v>
      </c>
      <c r="D568" s="240"/>
      <c r="E568" s="241"/>
      <c r="F568" s="70"/>
      <c r="G568" s="71"/>
      <c r="H568" s="71"/>
      <c r="I568" s="71"/>
      <c r="J568" s="240" t="s">
        <v>330</v>
      </c>
      <c r="K568" s="241"/>
      <c r="L568" s="49">
        <v>25000000</v>
      </c>
      <c r="M568" s="49">
        <v>0</v>
      </c>
      <c r="N568" s="49"/>
      <c r="O568" s="49"/>
      <c r="P568" s="49"/>
      <c r="Q568" s="49">
        <f>SUM(N568:P568)</f>
        <v>0</v>
      </c>
      <c r="R568" s="72"/>
      <c r="S568" s="49">
        <f>M568-Q568</f>
        <v>0</v>
      </c>
      <c r="T568" s="49">
        <v>22000000</v>
      </c>
      <c r="U568" s="49">
        <f>T568+M568</f>
        <v>22000000</v>
      </c>
      <c r="V568" s="49">
        <f>T568+S568</f>
        <v>22000000</v>
      </c>
      <c r="W568" s="49">
        <v>21000000</v>
      </c>
      <c r="X568" s="49"/>
      <c r="Y568" s="49"/>
      <c r="Z568" s="49"/>
      <c r="AA568" s="49">
        <v>3000000</v>
      </c>
      <c r="AB568" s="49">
        <v>25000000</v>
      </c>
      <c r="AC568" s="49">
        <f t="shared" si="131"/>
        <v>0</v>
      </c>
      <c r="AD568" s="49">
        <f>AA568+T568+M568</f>
        <v>25000000</v>
      </c>
      <c r="AE568" s="49"/>
      <c r="AF568" s="49"/>
      <c r="AG568" s="49">
        <v>0</v>
      </c>
      <c r="AH568" s="49"/>
      <c r="AI568" s="49">
        <v>0</v>
      </c>
      <c r="AJ568" s="49">
        <v>0</v>
      </c>
      <c r="AK568" s="49">
        <f>Z568+Y568+X568+W568+N568+AG568+AE568+AJ568+AI568+AH568</f>
        <v>21000000</v>
      </c>
      <c r="AL568" s="49">
        <f>AK568/AD568*100</f>
        <v>84</v>
      </c>
      <c r="AM568" s="49"/>
      <c r="AN568" s="49"/>
      <c r="AO568" s="49"/>
      <c r="AP568" s="42">
        <v>4000000</v>
      </c>
      <c r="AQ568" s="49">
        <f>AK568+AM568+AN568+AO568+AP568</f>
        <v>25000000</v>
      </c>
      <c r="AR568" s="49">
        <f>AQ568/AB568*100</f>
        <v>100</v>
      </c>
      <c r="AS568" s="49">
        <f t="shared" si="126"/>
        <v>0</v>
      </c>
      <c r="AT568" s="49">
        <v>3091500</v>
      </c>
      <c r="AU568" s="49">
        <f>AT568+U568</f>
        <v>25091500</v>
      </c>
      <c r="AV568" s="49">
        <f>AK568</f>
        <v>21000000</v>
      </c>
      <c r="AW568" s="72">
        <f>AV568/AU568*100</f>
        <v>83.69368112707491</v>
      </c>
      <c r="AX568" s="49">
        <f>AU568-AV568</f>
        <v>4091500</v>
      </c>
      <c r="AY568" s="49">
        <f t="shared" si="127"/>
        <v>0</v>
      </c>
      <c r="AZ568" s="73">
        <f t="shared" si="129"/>
        <v>25000000</v>
      </c>
    </row>
    <row r="569" spans="1:53" ht="20.100000000000001" hidden="1" customHeight="1">
      <c r="A569" s="68"/>
      <c r="B569" s="69"/>
      <c r="C569" s="240" t="s">
        <v>774</v>
      </c>
      <c r="D569" s="240"/>
      <c r="E569" s="241"/>
      <c r="F569" s="70"/>
      <c r="G569" s="71"/>
      <c r="H569" s="71"/>
      <c r="I569" s="240" t="s">
        <v>193</v>
      </c>
      <c r="J569" s="240"/>
      <c r="K569" s="241"/>
      <c r="L569" s="49"/>
      <c r="M569" s="49"/>
      <c r="N569" s="49"/>
      <c r="O569" s="49"/>
      <c r="P569" s="49"/>
      <c r="Q569" s="49"/>
      <c r="R569" s="72"/>
      <c r="S569" s="49"/>
      <c r="T569" s="49"/>
      <c r="U569" s="49"/>
      <c r="V569" s="49"/>
      <c r="W569" s="49"/>
      <c r="X569" s="49"/>
      <c r="Y569" s="49"/>
      <c r="Z569" s="49"/>
      <c r="AA569" s="49"/>
      <c r="AB569" s="49"/>
      <c r="AC569" s="49">
        <f t="shared" si="131"/>
        <v>0</v>
      </c>
      <c r="AD569" s="49"/>
      <c r="AE569" s="49"/>
      <c r="AF569" s="49"/>
      <c r="AG569" s="49"/>
      <c r="AH569" s="49"/>
      <c r="AI569" s="49"/>
      <c r="AJ569" s="49"/>
      <c r="AK569" s="49"/>
      <c r="AL569" s="49"/>
      <c r="AM569" s="49"/>
      <c r="AN569" s="49"/>
      <c r="AO569" s="49"/>
      <c r="AP569" s="42"/>
      <c r="AQ569" s="49"/>
      <c r="AR569" s="49"/>
      <c r="AS569" s="49"/>
      <c r="AT569" s="49"/>
      <c r="AU569" s="49"/>
      <c r="AV569" s="49"/>
      <c r="AW569" s="49"/>
      <c r="AX569" s="49"/>
      <c r="AY569" s="49"/>
      <c r="AZ569" s="73">
        <f t="shared" si="129"/>
        <v>0</v>
      </c>
    </row>
    <row r="570" spans="1:53" ht="20.100000000000001" hidden="1" customHeight="1">
      <c r="A570" s="68"/>
      <c r="B570" s="69"/>
      <c r="C570" s="240" t="s">
        <v>775</v>
      </c>
      <c r="D570" s="240"/>
      <c r="E570" s="241"/>
      <c r="F570" s="70"/>
      <c r="G570" s="71"/>
      <c r="H570" s="71"/>
      <c r="I570" s="71"/>
      <c r="J570" s="240" t="s">
        <v>195</v>
      </c>
      <c r="K570" s="241"/>
      <c r="L570" s="49">
        <v>10430000</v>
      </c>
      <c r="M570" s="49">
        <v>525000</v>
      </c>
      <c r="N570" s="49">
        <v>525000</v>
      </c>
      <c r="O570" s="49"/>
      <c r="P570" s="49"/>
      <c r="Q570" s="49">
        <f>SUM(N570:P570)</f>
        <v>525000</v>
      </c>
      <c r="R570" s="72">
        <f>Q570/M570*100</f>
        <v>100</v>
      </c>
      <c r="S570" s="49">
        <f>M570-Q570</f>
        <v>0</v>
      </c>
      <c r="T570" s="49">
        <v>525000</v>
      </c>
      <c r="U570" s="49">
        <f>T570+M570</f>
        <v>1050000</v>
      </c>
      <c r="V570" s="49">
        <f>T570+S570</f>
        <v>525000</v>
      </c>
      <c r="W570" s="49">
        <v>525000</v>
      </c>
      <c r="X570" s="49"/>
      <c r="Y570" s="49"/>
      <c r="Z570" s="49"/>
      <c r="AA570" s="49">
        <v>9380000</v>
      </c>
      <c r="AB570" s="49">
        <v>10430000</v>
      </c>
      <c r="AC570" s="49">
        <f t="shared" si="131"/>
        <v>0</v>
      </c>
      <c r="AD570" s="49">
        <f>AA570+T570+M570</f>
        <v>10430000</v>
      </c>
      <c r="AE570" s="49"/>
      <c r="AF570" s="49"/>
      <c r="AG570" s="49">
        <v>0</v>
      </c>
      <c r="AH570" s="49"/>
      <c r="AI570" s="49">
        <v>0</v>
      </c>
      <c r="AJ570" s="49">
        <v>0</v>
      </c>
      <c r="AK570" s="49">
        <f>Z570+Y570+X570+W570+N570+AG570+AE570+AJ570+AI570+AH570</f>
        <v>1050000</v>
      </c>
      <c r="AL570" s="49">
        <f>AK570/AD570*100</f>
        <v>10.067114093959731</v>
      </c>
      <c r="AM570" s="49"/>
      <c r="AN570" s="49"/>
      <c r="AO570" s="49"/>
      <c r="AP570" s="42">
        <v>9380000</v>
      </c>
      <c r="AQ570" s="49">
        <f>AK570+AM570+AN570+AO570+AP570</f>
        <v>10430000</v>
      </c>
      <c r="AR570" s="49">
        <f>AQ570/AB570*100</f>
        <v>100</v>
      </c>
      <c r="AS570" s="49">
        <f t="shared" si="126"/>
        <v>0</v>
      </c>
      <c r="AT570" s="49">
        <v>3091500</v>
      </c>
      <c r="AU570" s="49">
        <f>AT570+U570</f>
        <v>4141500</v>
      </c>
      <c r="AV570" s="49">
        <f>AK570</f>
        <v>1050000</v>
      </c>
      <c r="AW570" s="72">
        <f>AV570/AU570*100</f>
        <v>25.353132922854037</v>
      </c>
      <c r="AX570" s="49">
        <f>AU570-AV570</f>
        <v>3091500</v>
      </c>
      <c r="AY570" s="49">
        <f t="shared" si="127"/>
        <v>0</v>
      </c>
      <c r="AZ570" s="73">
        <f t="shared" si="129"/>
        <v>10430000</v>
      </c>
    </row>
    <row r="571" spans="1:53" ht="20.100000000000001" hidden="1" customHeight="1">
      <c r="A571" s="68"/>
      <c r="B571" s="69"/>
      <c r="C571" s="240" t="s">
        <v>776</v>
      </c>
      <c r="D571" s="240"/>
      <c r="E571" s="241"/>
      <c r="F571" s="70"/>
      <c r="G571" s="71"/>
      <c r="H571" s="71"/>
      <c r="I571" s="240" t="s">
        <v>777</v>
      </c>
      <c r="J571" s="240"/>
      <c r="K571" s="241"/>
      <c r="L571" s="49"/>
      <c r="M571" s="49"/>
      <c r="N571" s="49"/>
      <c r="O571" s="49"/>
      <c r="P571" s="49"/>
      <c r="Q571" s="49"/>
      <c r="R571" s="72"/>
      <c r="S571" s="49"/>
      <c r="T571" s="49"/>
      <c r="U571" s="49"/>
      <c r="V571" s="49"/>
      <c r="W571" s="49"/>
      <c r="X571" s="49"/>
      <c r="Y571" s="49"/>
      <c r="Z571" s="49"/>
      <c r="AA571" s="49"/>
      <c r="AB571" s="49"/>
      <c r="AC571" s="49">
        <f t="shared" si="131"/>
        <v>0</v>
      </c>
      <c r="AD571" s="49"/>
      <c r="AE571" s="49"/>
      <c r="AF571" s="49"/>
      <c r="AG571" s="49"/>
      <c r="AH571" s="49"/>
      <c r="AI571" s="49"/>
      <c r="AJ571" s="49"/>
      <c r="AK571" s="49"/>
      <c r="AL571" s="49"/>
      <c r="AM571" s="49"/>
      <c r="AN571" s="49"/>
      <c r="AO571" s="49"/>
      <c r="AP571" s="42"/>
      <c r="AQ571" s="49"/>
      <c r="AR571" s="49"/>
      <c r="AS571" s="49"/>
      <c r="AT571" s="49"/>
      <c r="AU571" s="49"/>
      <c r="AV571" s="49"/>
      <c r="AW571" s="49"/>
      <c r="AX571" s="49"/>
      <c r="AY571" s="49"/>
      <c r="AZ571" s="73">
        <f t="shared" si="129"/>
        <v>0</v>
      </c>
    </row>
    <row r="572" spans="1:53" ht="20.100000000000001" hidden="1" customHeight="1">
      <c r="A572" s="68"/>
      <c r="B572" s="69"/>
      <c r="C572" s="240" t="s">
        <v>778</v>
      </c>
      <c r="D572" s="240"/>
      <c r="E572" s="241"/>
      <c r="F572" s="70"/>
      <c r="G572" s="71"/>
      <c r="H572" s="71"/>
      <c r="I572" s="71"/>
      <c r="J572" s="240" t="s">
        <v>779</v>
      </c>
      <c r="K572" s="241"/>
      <c r="L572" s="49">
        <v>3000000</v>
      </c>
      <c r="M572" s="49">
        <v>0</v>
      </c>
      <c r="N572" s="49"/>
      <c r="O572" s="49"/>
      <c r="P572" s="49"/>
      <c r="Q572" s="49">
        <f>SUM(N572:P572)</f>
        <v>0</v>
      </c>
      <c r="R572" s="72"/>
      <c r="S572" s="49">
        <f>M572-Q572</f>
        <v>0</v>
      </c>
      <c r="T572" s="49">
        <v>0</v>
      </c>
      <c r="U572" s="49">
        <f>T572+M572</f>
        <v>0</v>
      </c>
      <c r="V572" s="49">
        <f>T572+S572</f>
        <v>0</v>
      </c>
      <c r="W572" s="49"/>
      <c r="X572" s="49"/>
      <c r="Y572" s="49"/>
      <c r="Z572" s="49"/>
      <c r="AA572" s="49">
        <v>3000000</v>
      </c>
      <c r="AB572" s="49">
        <v>3000000</v>
      </c>
      <c r="AC572" s="49">
        <f t="shared" si="131"/>
        <v>0</v>
      </c>
      <c r="AD572" s="49">
        <f>AA572+T572+M572</f>
        <v>3000000</v>
      </c>
      <c r="AE572" s="49"/>
      <c r="AF572" s="49"/>
      <c r="AG572" s="49"/>
      <c r="AH572" s="49"/>
      <c r="AI572" s="49"/>
      <c r="AJ572" s="49"/>
      <c r="AK572" s="49">
        <f>Z572+Y572+X572+W572+N572+AG572+AE572+AJ572+AI572+AH572</f>
        <v>0</v>
      </c>
      <c r="AL572" s="49">
        <f>AK572/AD572*100</f>
        <v>0</v>
      </c>
      <c r="AM572" s="49"/>
      <c r="AN572" s="49"/>
      <c r="AO572" s="49"/>
      <c r="AP572" s="42">
        <v>3000000</v>
      </c>
      <c r="AQ572" s="49">
        <f>AK572+AM572+AN572+AO572+AP572</f>
        <v>3000000</v>
      </c>
      <c r="AR572" s="49">
        <f>AQ572/AB572*100</f>
        <v>100</v>
      </c>
      <c r="AS572" s="49">
        <f t="shared" si="126"/>
        <v>0</v>
      </c>
      <c r="AT572" s="49">
        <v>3091500</v>
      </c>
      <c r="AU572" s="49">
        <f>AT572+U572</f>
        <v>3091500</v>
      </c>
      <c r="AV572" s="49">
        <f>AK572</f>
        <v>0</v>
      </c>
      <c r="AW572" s="72">
        <f>AV572/AU572*100</f>
        <v>0</v>
      </c>
      <c r="AX572" s="49">
        <f>AU572-AV572</f>
        <v>3091500</v>
      </c>
      <c r="AY572" s="49">
        <f t="shared" si="127"/>
        <v>0</v>
      </c>
      <c r="AZ572" s="73">
        <f t="shared" si="129"/>
        <v>3000000</v>
      </c>
    </row>
    <row r="573" spans="1:53" ht="20.100000000000001" hidden="1" customHeight="1">
      <c r="A573" s="68"/>
      <c r="B573" s="69"/>
      <c r="C573" s="240" t="s">
        <v>780</v>
      </c>
      <c r="D573" s="240"/>
      <c r="E573" s="241"/>
      <c r="F573" s="70"/>
      <c r="G573" s="71"/>
      <c r="H573" s="71"/>
      <c r="I573" s="240" t="s">
        <v>157</v>
      </c>
      <c r="J573" s="240"/>
      <c r="K573" s="241"/>
      <c r="L573" s="49"/>
      <c r="M573" s="49"/>
      <c r="N573" s="49"/>
      <c r="O573" s="49"/>
      <c r="P573" s="49"/>
      <c r="Q573" s="49"/>
      <c r="R573" s="72"/>
      <c r="S573" s="49"/>
      <c r="T573" s="49"/>
      <c r="U573" s="49"/>
      <c r="V573" s="49"/>
      <c r="W573" s="49"/>
      <c r="X573" s="49"/>
      <c r="Y573" s="49"/>
      <c r="Z573" s="49"/>
      <c r="AA573" s="49"/>
      <c r="AB573" s="49"/>
      <c r="AC573" s="49">
        <f t="shared" si="131"/>
        <v>0</v>
      </c>
      <c r="AD573" s="49"/>
      <c r="AE573" s="49"/>
      <c r="AF573" s="49"/>
      <c r="AG573" s="49"/>
      <c r="AH573" s="49"/>
      <c r="AI573" s="49"/>
      <c r="AJ573" s="49"/>
      <c r="AK573" s="49"/>
      <c r="AL573" s="49"/>
      <c r="AM573" s="49"/>
      <c r="AN573" s="49"/>
      <c r="AO573" s="49"/>
      <c r="AP573" s="42"/>
      <c r="AQ573" s="49"/>
      <c r="AR573" s="49"/>
      <c r="AS573" s="49"/>
      <c r="AT573" s="49"/>
      <c r="AU573" s="49"/>
      <c r="AV573" s="49"/>
      <c r="AW573" s="49"/>
      <c r="AX573" s="49"/>
      <c r="AY573" s="49"/>
      <c r="AZ573" s="73">
        <f t="shared" si="129"/>
        <v>0</v>
      </c>
    </row>
    <row r="574" spans="1:53" ht="20.100000000000001" hidden="1" customHeight="1">
      <c r="A574" s="68"/>
      <c r="B574" s="69"/>
      <c r="C574" s="240" t="s">
        <v>781</v>
      </c>
      <c r="D574" s="240"/>
      <c r="E574" s="241"/>
      <c r="F574" s="70"/>
      <c r="G574" s="71"/>
      <c r="H574" s="71"/>
      <c r="I574" s="71"/>
      <c r="J574" s="240" t="s">
        <v>159</v>
      </c>
      <c r="K574" s="241"/>
      <c r="L574" s="49">
        <v>8300000</v>
      </c>
      <c r="M574" s="49">
        <v>2000000</v>
      </c>
      <c r="N574" s="49"/>
      <c r="O574" s="49"/>
      <c r="P574" s="49"/>
      <c r="Q574" s="49">
        <f>SUM(N574:P574)</f>
        <v>0</v>
      </c>
      <c r="R574" s="72">
        <f>Q574/M574*100</f>
        <v>0</v>
      </c>
      <c r="S574" s="49">
        <f>M574-Q574</f>
        <v>2000000</v>
      </c>
      <c r="T574" s="49">
        <v>2000000</v>
      </c>
      <c r="U574" s="49">
        <f>T574+M574</f>
        <v>4000000</v>
      </c>
      <c r="V574" s="49">
        <f>T574+S574</f>
        <v>4000000</v>
      </c>
      <c r="W574" s="49"/>
      <c r="X574" s="49"/>
      <c r="Y574" s="49"/>
      <c r="Z574" s="49"/>
      <c r="AA574" s="49">
        <v>4300000</v>
      </c>
      <c r="AB574" s="49">
        <v>8300000</v>
      </c>
      <c r="AC574" s="49">
        <f t="shared" si="131"/>
        <v>0</v>
      </c>
      <c r="AD574" s="49">
        <f>AA574+T574+M574</f>
        <v>8300000</v>
      </c>
      <c r="AE574" s="49"/>
      <c r="AF574" s="49"/>
      <c r="AG574" s="49"/>
      <c r="AH574" s="49"/>
      <c r="AI574" s="49"/>
      <c r="AJ574" s="49">
        <v>1280000</v>
      </c>
      <c r="AK574" s="49">
        <f>Z574+Y574+X574+W574+N574+AG574+AE574+AJ574+AI574+AH574</f>
        <v>1280000</v>
      </c>
      <c r="AL574" s="49">
        <f>AK574/AD574*100</f>
        <v>15.421686746987953</v>
      </c>
      <c r="AM574" s="49"/>
      <c r="AN574" s="49"/>
      <c r="AO574" s="49"/>
      <c r="AP574" s="42">
        <v>7020000</v>
      </c>
      <c r="AQ574" s="49">
        <f>AK574+AM574+AN574+AO574+AP574</f>
        <v>8300000</v>
      </c>
      <c r="AR574" s="49">
        <f>AQ574/AB574*100</f>
        <v>100</v>
      </c>
      <c r="AS574" s="49">
        <f t="shared" si="126"/>
        <v>0</v>
      </c>
      <c r="AT574" s="49">
        <v>3091500</v>
      </c>
      <c r="AU574" s="49">
        <f>AT574+U574</f>
        <v>7091500</v>
      </c>
      <c r="AV574" s="49">
        <f>AK574</f>
        <v>1280000</v>
      </c>
      <c r="AW574" s="72">
        <f>AV574/AU574*100</f>
        <v>18.049777903123456</v>
      </c>
      <c r="AX574" s="49">
        <f>AU574-AV574</f>
        <v>5811500</v>
      </c>
      <c r="AY574" s="49">
        <f t="shared" si="127"/>
        <v>0</v>
      </c>
      <c r="AZ574" s="73">
        <f t="shared" si="129"/>
        <v>8300000</v>
      </c>
    </row>
    <row r="575" spans="1:53" ht="20.100000000000001" hidden="1" customHeight="1">
      <c r="A575" s="68"/>
      <c r="B575" s="69"/>
      <c r="C575" s="240" t="s">
        <v>782</v>
      </c>
      <c r="D575" s="240"/>
      <c r="E575" s="241"/>
      <c r="F575" s="70"/>
      <c r="G575" s="71"/>
      <c r="H575" s="71"/>
      <c r="I575" s="71"/>
      <c r="J575" s="240" t="s">
        <v>207</v>
      </c>
      <c r="K575" s="241"/>
      <c r="L575" s="49">
        <v>127213000</v>
      </c>
      <c r="M575" s="49">
        <v>0</v>
      </c>
      <c r="N575" s="49"/>
      <c r="O575" s="49"/>
      <c r="P575" s="49"/>
      <c r="Q575" s="49">
        <f>SUM(N575:P575)</f>
        <v>0</v>
      </c>
      <c r="R575" s="72"/>
      <c r="S575" s="49">
        <f>M575-Q575</f>
        <v>0</v>
      </c>
      <c r="T575" s="49">
        <v>110309900</v>
      </c>
      <c r="U575" s="49">
        <f>T575+M575</f>
        <v>110309900</v>
      </c>
      <c r="V575" s="49">
        <f>T575+S575</f>
        <v>110309900</v>
      </c>
      <c r="W575" s="49"/>
      <c r="X575" s="49">
        <v>97446100</v>
      </c>
      <c r="Y575" s="49"/>
      <c r="Z575" s="49"/>
      <c r="AA575" s="49">
        <v>16903100</v>
      </c>
      <c r="AB575" s="49">
        <v>127213000</v>
      </c>
      <c r="AC575" s="49">
        <f t="shared" si="131"/>
        <v>0</v>
      </c>
      <c r="AD575" s="49">
        <f>AA575+T575+M575</f>
        <v>127213000</v>
      </c>
      <c r="AE575" s="49"/>
      <c r="AF575" s="49"/>
      <c r="AG575" s="49"/>
      <c r="AH575" s="49"/>
      <c r="AI575" s="49"/>
      <c r="AJ575" s="49">
        <v>3476000</v>
      </c>
      <c r="AK575" s="49">
        <f>Z575+Y575+X575+W575+N575+AG575+AE575+AJ575+AI575+AH575</f>
        <v>100922100</v>
      </c>
      <c r="AL575" s="49">
        <f>AK575/AD575*100</f>
        <v>79.333165635587548</v>
      </c>
      <c r="AM575" s="48"/>
      <c r="AN575" s="49"/>
      <c r="AO575" s="49"/>
      <c r="AP575" s="42">
        <v>26290900</v>
      </c>
      <c r="AQ575" s="49">
        <f>AK575+AM575+AN575+AO575+AP575</f>
        <v>127213000</v>
      </c>
      <c r="AR575" s="49">
        <f>AQ575/AB575*100</f>
        <v>100</v>
      </c>
      <c r="AS575" s="49">
        <f t="shared" si="126"/>
        <v>0</v>
      </c>
      <c r="AT575" s="49">
        <v>3091500</v>
      </c>
      <c r="AU575" s="49">
        <f>AT575+U575</f>
        <v>113401400</v>
      </c>
      <c r="AV575" s="49">
        <f>AK575</f>
        <v>100922100</v>
      </c>
      <c r="AW575" s="72">
        <f>AV575/AU575*100</f>
        <v>88.995462137151748</v>
      </c>
      <c r="AX575" s="49">
        <f>AU575-AV575</f>
        <v>12479300</v>
      </c>
      <c r="AY575" s="49">
        <f t="shared" si="127"/>
        <v>0</v>
      </c>
      <c r="AZ575" s="73">
        <f t="shared" si="129"/>
        <v>127213000</v>
      </c>
    </row>
    <row r="576" spans="1:53" ht="20.100000000000001" hidden="1" customHeight="1">
      <c r="A576" s="68"/>
      <c r="B576" s="69"/>
      <c r="C576" s="240" t="s">
        <v>783</v>
      </c>
      <c r="D576" s="240"/>
      <c r="E576" s="241"/>
      <c r="F576" s="70"/>
      <c r="G576" s="71"/>
      <c r="H576" s="71"/>
      <c r="I576" s="240" t="s">
        <v>402</v>
      </c>
      <c r="J576" s="240"/>
      <c r="K576" s="241"/>
      <c r="L576" s="49"/>
      <c r="M576" s="49"/>
      <c r="N576" s="49"/>
      <c r="O576" s="49"/>
      <c r="P576" s="49"/>
      <c r="Q576" s="49"/>
      <c r="R576" s="72"/>
      <c r="S576" s="49"/>
      <c r="T576" s="49"/>
      <c r="U576" s="49"/>
      <c r="V576" s="49"/>
      <c r="W576" s="49"/>
      <c r="X576" s="49"/>
      <c r="Y576" s="49"/>
      <c r="Z576" s="49"/>
      <c r="AA576" s="49"/>
      <c r="AB576" s="49"/>
      <c r="AC576" s="49">
        <f t="shared" si="131"/>
        <v>0</v>
      </c>
      <c r="AD576" s="49"/>
      <c r="AE576" s="49"/>
      <c r="AF576" s="49"/>
      <c r="AG576" s="49"/>
      <c r="AH576" s="49"/>
      <c r="AI576" s="49"/>
      <c r="AJ576" s="49"/>
      <c r="AK576" s="49"/>
      <c r="AL576" s="49"/>
      <c r="AM576" s="49"/>
      <c r="AN576" s="49"/>
      <c r="AO576" s="49"/>
      <c r="AP576" s="42"/>
      <c r="AQ576" s="49"/>
      <c r="AR576" s="49"/>
      <c r="AS576" s="49"/>
      <c r="AT576" s="49"/>
      <c r="AU576" s="49"/>
      <c r="AV576" s="49"/>
      <c r="AW576" s="49"/>
      <c r="AX576" s="49"/>
      <c r="AY576" s="49"/>
      <c r="AZ576" s="73">
        <f t="shared" si="129"/>
        <v>0</v>
      </c>
    </row>
    <row r="577" spans="1:54" ht="20.100000000000001" hidden="1" customHeight="1">
      <c r="A577" s="68"/>
      <c r="B577" s="69"/>
      <c r="C577" s="240" t="s">
        <v>784</v>
      </c>
      <c r="D577" s="240"/>
      <c r="E577" s="241"/>
      <c r="F577" s="70"/>
      <c r="G577" s="71"/>
      <c r="H577" s="71"/>
      <c r="I577" s="71"/>
      <c r="J577" s="240" t="s">
        <v>404</v>
      </c>
      <c r="K577" s="241"/>
      <c r="L577" s="49">
        <v>900000</v>
      </c>
      <c r="M577" s="49">
        <v>0</v>
      </c>
      <c r="N577" s="49"/>
      <c r="O577" s="49"/>
      <c r="P577" s="49"/>
      <c r="Q577" s="49">
        <f>SUM(N577:P577)</f>
        <v>0</v>
      </c>
      <c r="R577" s="72"/>
      <c r="S577" s="49">
        <f>M577-Q577</f>
        <v>0</v>
      </c>
      <c r="T577" s="49">
        <v>0</v>
      </c>
      <c r="U577" s="49">
        <f>T577+M577</f>
        <v>0</v>
      </c>
      <c r="V577" s="49">
        <f>T577+S577</f>
        <v>0</v>
      </c>
      <c r="W577" s="49"/>
      <c r="X577" s="49"/>
      <c r="Y577" s="49"/>
      <c r="Z577" s="49"/>
      <c r="AA577" s="49">
        <v>900000</v>
      </c>
      <c r="AB577" s="49">
        <v>900000</v>
      </c>
      <c r="AC577" s="49">
        <f t="shared" si="131"/>
        <v>0</v>
      </c>
      <c r="AD577" s="49">
        <f>AA577+T577+M577</f>
        <v>900000</v>
      </c>
      <c r="AE577" s="49"/>
      <c r="AF577" s="49"/>
      <c r="AG577" s="49"/>
      <c r="AH577" s="49"/>
      <c r="AI577" s="49"/>
      <c r="AJ577" s="49"/>
      <c r="AK577" s="49">
        <f>Z577+Y577+X577+W577+N577+AG577+AE577+AJ577+AI577+AH577</f>
        <v>0</v>
      </c>
      <c r="AL577" s="49">
        <f>AK577/AD577*100</f>
        <v>0</v>
      </c>
      <c r="AM577" s="49"/>
      <c r="AN577" s="49"/>
      <c r="AO577" s="49"/>
      <c r="AP577" s="42">
        <v>900000</v>
      </c>
      <c r="AQ577" s="49">
        <f>AK577+AM577+AN577+AO577+AP577</f>
        <v>900000</v>
      </c>
      <c r="AR577" s="49">
        <f>AQ577/AB577*100</f>
        <v>100</v>
      </c>
      <c r="AS577" s="49">
        <f t="shared" si="126"/>
        <v>0</v>
      </c>
      <c r="AT577" s="49">
        <v>3091500</v>
      </c>
      <c r="AU577" s="49">
        <f>AT577+U577</f>
        <v>3091500</v>
      </c>
      <c r="AV577" s="49">
        <f>AK577</f>
        <v>0</v>
      </c>
      <c r="AW577" s="72">
        <f>AV577/AU577*100</f>
        <v>0</v>
      </c>
      <c r="AX577" s="49">
        <f>AU577-AV577</f>
        <v>3091500</v>
      </c>
      <c r="AY577" s="49">
        <f t="shared" si="127"/>
        <v>0</v>
      </c>
      <c r="AZ577" s="73">
        <f t="shared" si="129"/>
        <v>900000</v>
      </c>
    </row>
    <row r="578" spans="1:54" ht="20.100000000000001" customHeight="1">
      <c r="A578" s="62">
        <v>35</v>
      </c>
      <c r="B578" s="63"/>
      <c r="C578" s="242" t="s">
        <v>785</v>
      </c>
      <c r="D578" s="242"/>
      <c r="E578" s="243"/>
      <c r="F578" s="64"/>
      <c r="G578" s="244" t="s">
        <v>36</v>
      </c>
      <c r="H578" s="244"/>
      <c r="I578" s="244"/>
      <c r="J578" s="244"/>
      <c r="K578" s="245"/>
      <c r="L578" s="65">
        <f>SUM(L581:L606)</f>
        <v>342500000</v>
      </c>
      <c r="M578" s="65">
        <f>SUM(M581:M606)</f>
        <v>28680000</v>
      </c>
      <c r="N578" s="65">
        <f>SUM(N581:N606)</f>
        <v>26429800</v>
      </c>
      <c r="O578" s="65">
        <f>SUM(O581:O606)</f>
        <v>0</v>
      </c>
      <c r="P578" s="65">
        <f>SUM(P581:P606)</f>
        <v>0</v>
      </c>
      <c r="Q578" s="65">
        <f>SUM(N578:P578)</f>
        <v>26429800</v>
      </c>
      <c r="R578" s="66">
        <f>Q578/M578*100</f>
        <v>92.154114365411431</v>
      </c>
      <c r="S578" s="65">
        <f>M578-Q578</f>
        <v>2250200</v>
      </c>
      <c r="T578" s="65">
        <f>SUM(T581:T606)</f>
        <v>61678000</v>
      </c>
      <c r="U578" s="65">
        <f>T578+M578</f>
        <v>90358000</v>
      </c>
      <c r="V578" s="65">
        <f>T578+S578</f>
        <v>63928200</v>
      </c>
      <c r="W578" s="65">
        <f>SUM(W581:W606)</f>
        <v>52067850</v>
      </c>
      <c r="X578" s="65">
        <f>SUM(X581:X606)</f>
        <v>0</v>
      </c>
      <c r="Y578" s="65">
        <f>SUM(Y581:Y606)</f>
        <v>0</v>
      </c>
      <c r="Z578" s="65"/>
      <c r="AA578" s="65">
        <f>SUM(AA581:AA606)</f>
        <v>148367000</v>
      </c>
      <c r="AB578" s="65">
        <f>SUM(AB581:AB606)</f>
        <v>342500000</v>
      </c>
      <c r="AC578" s="65">
        <f t="shared" si="131"/>
        <v>0</v>
      </c>
      <c r="AD578" s="65">
        <f>AA578+T578+M578</f>
        <v>238725000</v>
      </c>
      <c r="AE578" s="65">
        <f t="shared" ref="AE578:AK578" si="132">SUM(AE581:AE606)</f>
        <v>0</v>
      </c>
      <c r="AF578" s="65">
        <f t="shared" si="132"/>
        <v>0</v>
      </c>
      <c r="AG578" s="65">
        <f t="shared" si="132"/>
        <v>36875000</v>
      </c>
      <c r="AH578" s="65">
        <f t="shared" si="132"/>
        <v>0</v>
      </c>
      <c r="AI578" s="65">
        <f t="shared" si="132"/>
        <v>0</v>
      </c>
      <c r="AJ578" s="65">
        <f t="shared" si="132"/>
        <v>7225000</v>
      </c>
      <c r="AK578" s="65">
        <f t="shared" si="132"/>
        <v>122597650</v>
      </c>
      <c r="AL578" s="65">
        <f>AK578/AB578*100</f>
        <v>35.794934306569345</v>
      </c>
      <c r="AM578" s="65">
        <f>SUM(AM581:AM606)</f>
        <v>39875000</v>
      </c>
      <c r="AN578" s="65">
        <f>SUM(AN581:AN606)</f>
        <v>0</v>
      </c>
      <c r="AO578" s="65">
        <f>SUM(AO581:AO606)</f>
        <v>0</v>
      </c>
      <c r="AP578" s="42">
        <f>SUM(AP581:AP606)</f>
        <v>109965000</v>
      </c>
      <c r="AQ578" s="65">
        <f>AK578+AM578+AN578+AO578+AP578</f>
        <v>272437650</v>
      </c>
      <c r="AR578" s="65">
        <f>AQ578/AB578*100</f>
        <v>79.54383941605839</v>
      </c>
      <c r="AS578" s="65">
        <f>AB578-AQ578</f>
        <v>70062350</v>
      </c>
      <c r="AT578" s="65">
        <f>SUM(AT581:AT587)</f>
        <v>12366000</v>
      </c>
      <c r="AU578" s="65">
        <f>AT578+U578</f>
        <v>102724000</v>
      </c>
      <c r="AV578" s="65">
        <f>AK578</f>
        <v>122597650</v>
      </c>
      <c r="AW578" s="66">
        <f>AV578/AU578*100</f>
        <v>119.3466473268175</v>
      </c>
      <c r="AX578" s="65">
        <f>AU578-AV578</f>
        <v>-19873650</v>
      </c>
      <c r="AY578" s="65">
        <f>AS578/AB578*100</f>
        <v>20.456160583941607</v>
      </c>
      <c r="AZ578" s="67">
        <f>AQ578-AO578-AM578</f>
        <v>232562650</v>
      </c>
    </row>
    <row r="579" spans="1:54" ht="20.100000000000001" hidden="1" customHeight="1">
      <c r="A579" s="68"/>
      <c r="B579" s="69"/>
      <c r="C579" s="240" t="s">
        <v>786</v>
      </c>
      <c r="D579" s="240"/>
      <c r="E579" s="241"/>
      <c r="F579" s="70"/>
      <c r="G579" s="71"/>
      <c r="H579" s="240" t="s">
        <v>10</v>
      </c>
      <c r="I579" s="240"/>
      <c r="J579" s="240"/>
      <c r="K579" s="241"/>
      <c r="L579" s="49"/>
      <c r="M579" s="49"/>
      <c r="N579" s="49" t="s">
        <v>787</v>
      </c>
      <c r="O579" s="49"/>
      <c r="P579" s="49"/>
      <c r="Q579" s="49"/>
      <c r="R579" s="72"/>
      <c r="S579" s="49"/>
      <c r="T579" s="49"/>
      <c r="U579" s="49"/>
      <c r="V579" s="49"/>
      <c r="W579" s="49"/>
      <c r="X579" s="49"/>
      <c r="Y579" s="49"/>
      <c r="Z579" s="49"/>
      <c r="AA579" s="49"/>
      <c r="AB579" s="49"/>
      <c r="AC579" s="49">
        <f t="shared" si="131"/>
        <v>0</v>
      </c>
      <c r="AD579" s="49"/>
      <c r="AE579" s="49"/>
      <c r="AF579" s="49"/>
      <c r="AG579" s="49"/>
      <c r="AH579" s="49"/>
      <c r="AI579" s="49"/>
      <c r="AJ579" s="49"/>
      <c r="AK579" s="49"/>
      <c r="AL579" s="49"/>
      <c r="AM579" s="49"/>
      <c r="AN579" s="49"/>
      <c r="AO579" s="49"/>
      <c r="AP579" s="42"/>
      <c r="AQ579" s="49"/>
      <c r="AR579" s="49"/>
      <c r="AS579" s="49"/>
      <c r="AT579" s="49"/>
      <c r="AU579" s="49"/>
      <c r="AV579" s="49"/>
      <c r="AW579" s="49"/>
      <c r="AX579" s="49"/>
      <c r="AY579" s="49"/>
      <c r="AZ579" s="73">
        <f t="shared" si="129"/>
        <v>0</v>
      </c>
    </row>
    <row r="580" spans="1:54" ht="20.100000000000001" hidden="1" customHeight="1">
      <c r="A580" s="68"/>
      <c r="B580" s="69"/>
      <c r="C580" s="240" t="s">
        <v>788</v>
      </c>
      <c r="D580" s="240"/>
      <c r="E580" s="241"/>
      <c r="F580" s="70"/>
      <c r="G580" s="71"/>
      <c r="H580" s="71"/>
      <c r="I580" s="240" t="s">
        <v>177</v>
      </c>
      <c r="J580" s="240"/>
      <c r="K580" s="241"/>
      <c r="L580" s="49"/>
      <c r="M580" s="49"/>
      <c r="N580" s="49"/>
      <c r="O580" s="49"/>
      <c r="P580" s="49"/>
      <c r="Q580" s="49"/>
      <c r="R580" s="72"/>
      <c r="S580" s="49"/>
      <c r="T580" s="49"/>
      <c r="U580" s="49"/>
      <c r="V580" s="49"/>
      <c r="W580" s="49"/>
      <c r="X580" s="49"/>
      <c r="Y580" s="49"/>
      <c r="Z580" s="49"/>
      <c r="AA580" s="49"/>
      <c r="AB580" s="49"/>
      <c r="AC580" s="49">
        <f t="shared" si="131"/>
        <v>0</v>
      </c>
      <c r="AD580" s="49"/>
      <c r="AE580" s="49"/>
      <c r="AF580" s="49"/>
      <c r="AG580" s="49"/>
      <c r="AH580" s="49"/>
      <c r="AI580" s="49"/>
      <c r="AJ580" s="49"/>
      <c r="AK580" s="49"/>
      <c r="AL580" s="49"/>
      <c r="AM580" s="49"/>
      <c r="AN580" s="49"/>
      <c r="AO580" s="49"/>
      <c r="AP580" s="42"/>
      <c r="AQ580" s="49"/>
      <c r="AR580" s="49"/>
      <c r="AS580" s="49"/>
      <c r="AT580" s="49"/>
      <c r="AU580" s="49"/>
      <c r="AV580" s="49"/>
      <c r="AW580" s="49"/>
      <c r="AX580" s="49"/>
      <c r="AY580" s="49"/>
      <c r="AZ580" s="73">
        <f t="shared" si="129"/>
        <v>0</v>
      </c>
    </row>
    <row r="581" spans="1:54" ht="20.100000000000001" hidden="1" customHeight="1">
      <c r="A581" s="68"/>
      <c r="B581" s="69"/>
      <c r="C581" s="240" t="s">
        <v>789</v>
      </c>
      <c r="D581" s="240"/>
      <c r="E581" s="241"/>
      <c r="F581" s="70"/>
      <c r="G581" s="71"/>
      <c r="H581" s="71"/>
      <c r="I581" s="71"/>
      <c r="J581" s="240" t="s">
        <v>283</v>
      </c>
      <c r="K581" s="241"/>
      <c r="L581" s="49">
        <v>55000000</v>
      </c>
      <c r="M581" s="49">
        <v>5500000</v>
      </c>
      <c r="N581" s="49">
        <v>5250000</v>
      </c>
      <c r="O581" s="49"/>
      <c r="P581" s="49"/>
      <c r="Q581" s="49">
        <f>SUM(N581:P581)</f>
        <v>5250000</v>
      </c>
      <c r="R581" s="72">
        <f>Q581/M581*100</f>
        <v>95.454545454545453</v>
      </c>
      <c r="S581" s="49">
        <f>M581-Q581</f>
        <v>250000</v>
      </c>
      <c r="T581" s="49">
        <v>16500000</v>
      </c>
      <c r="U581" s="49">
        <f>T581+M581</f>
        <v>22000000</v>
      </c>
      <c r="V581" s="49">
        <f>T581+S581</f>
        <v>16750000</v>
      </c>
      <c r="W581" s="49">
        <v>10750000</v>
      </c>
      <c r="X581" s="49"/>
      <c r="Y581" s="49"/>
      <c r="Z581" s="49"/>
      <c r="AA581" s="49">
        <v>16500000</v>
      </c>
      <c r="AB581" s="49">
        <v>55000000</v>
      </c>
      <c r="AC581" s="49">
        <f t="shared" si="131"/>
        <v>0</v>
      </c>
      <c r="AD581" s="49">
        <f>AA581+T581+M581</f>
        <v>38500000</v>
      </c>
      <c r="AE581" s="49"/>
      <c r="AF581" s="49"/>
      <c r="AG581" s="49">
        <v>10500000</v>
      </c>
      <c r="AH581" s="49"/>
      <c r="AI581" s="49"/>
      <c r="AJ581" s="49"/>
      <c r="AK581" s="49">
        <f>Z581+Y581+X581+W581+N581+AG581+AE581+AJ581+AI581+AH581</f>
        <v>26500000</v>
      </c>
      <c r="AL581" s="49">
        <f>AK581/AD581*100</f>
        <v>68.831168831168839</v>
      </c>
      <c r="AM581" s="49"/>
      <c r="AN581" s="49"/>
      <c r="AO581" s="49"/>
      <c r="AP581" s="42">
        <v>28500000</v>
      </c>
      <c r="AQ581" s="49">
        <f>AK581+AM581+AN581+AO581+AP581</f>
        <v>55000000</v>
      </c>
      <c r="AR581" s="49">
        <f>AQ581/AB581*100</f>
        <v>100</v>
      </c>
      <c r="AS581" s="49">
        <f t="shared" si="126"/>
        <v>0</v>
      </c>
      <c r="AT581" s="49">
        <v>3091500</v>
      </c>
      <c r="AU581" s="49">
        <f>AT581+U581</f>
        <v>25091500</v>
      </c>
      <c r="AV581" s="49">
        <f>AK581</f>
        <v>26500000</v>
      </c>
      <c r="AW581" s="72">
        <f>AV581/AU581*100</f>
        <v>105.61345475559452</v>
      </c>
      <c r="AX581" s="49">
        <f>AU581-AV581</f>
        <v>-1408500</v>
      </c>
      <c r="AY581" s="49">
        <f t="shared" si="127"/>
        <v>0</v>
      </c>
      <c r="AZ581" s="73">
        <f t="shared" si="129"/>
        <v>55000000</v>
      </c>
    </row>
    <row r="582" spans="1:54" ht="20.100000000000001" hidden="1" customHeight="1">
      <c r="A582" s="68"/>
      <c r="B582" s="69"/>
      <c r="C582" s="240" t="s">
        <v>790</v>
      </c>
      <c r="D582" s="240"/>
      <c r="E582" s="241"/>
      <c r="F582" s="70"/>
      <c r="G582" s="71"/>
      <c r="H582" s="71"/>
      <c r="I582" s="71"/>
      <c r="J582" s="240" t="s">
        <v>384</v>
      </c>
      <c r="K582" s="241"/>
      <c r="L582" s="49">
        <v>2090000</v>
      </c>
      <c r="M582" s="49">
        <v>0</v>
      </c>
      <c r="N582" s="49"/>
      <c r="O582" s="49"/>
      <c r="P582" s="49"/>
      <c r="Q582" s="49">
        <f>SUM(N582:P582)</f>
        <v>0</v>
      </c>
      <c r="R582" s="72"/>
      <c r="S582" s="49">
        <f>M582-Q582</f>
        <v>0</v>
      </c>
      <c r="T582" s="49">
        <v>0</v>
      </c>
      <c r="U582" s="49">
        <f>T582+M582</f>
        <v>0</v>
      </c>
      <c r="V582" s="49">
        <f>T582+S582</f>
        <v>0</v>
      </c>
      <c r="W582" s="49"/>
      <c r="X582" s="49"/>
      <c r="Y582" s="49"/>
      <c r="Z582" s="49"/>
      <c r="AA582" s="49">
        <v>2090000</v>
      </c>
      <c r="AB582" s="49">
        <v>2090000</v>
      </c>
      <c r="AC582" s="49">
        <f t="shared" si="131"/>
        <v>0</v>
      </c>
      <c r="AD582" s="49">
        <f>AA582+T582+M582</f>
        <v>2090000</v>
      </c>
      <c r="AE582" s="49"/>
      <c r="AF582" s="49"/>
      <c r="AG582" s="49"/>
      <c r="AH582" s="49"/>
      <c r="AI582" s="49"/>
      <c r="AJ582" s="49"/>
      <c r="AK582" s="49">
        <f>Z582+Y582+X582+W582+N582+AG582+AE582+AJ582+AI582+AH582</f>
        <v>0</v>
      </c>
      <c r="AL582" s="49">
        <f>AK582/AD582*100</f>
        <v>0</v>
      </c>
      <c r="AM582" s="49"/>
      <c r="AN582" s="49"/>
      <c r="AO582" s="49"/>
      <c r="AP582" s="42">
        <v>2090000</v>
      </c>
      <c r="AQ582" s="49">
        <f>AK582+AM582+AN582+AO582+AP582</f>
        <v>2090000</v>
      </c>
      <c r="AR582" s="49">
        <f>AQ582/AB582*100</f>
        <v>100</v>
      </c>
      <c r="AS582" s="49">
        <f t="shared" si="126"/>
        <v>0</v>
      </c>
      <c r="AT582" s="49">
        <v>3091500</v>
      </c>
      <c r="AU582" s="49">
        <f>AT582+U582</f>
        <v>3091500</v>
      </c>
      <c r="AV582" s="49">
        <f>AK582</f>
        <v>0</v>
      </c>
      <c r="AW582" s="72">
        <f>AV582/AU582*100</f>
        <v>0</v>
      </c>
      <c r="AX582" s="49">
        <f>AU582-AV582</f>
        <v>3091500</v>
      </c>
      <c r="AY582" s="49">
        <f t="shared" si="127"/>
        <v>0</v>
      </c>
      <c r="AZ582" s="73">
        <f t="shared" si="129"/>
        <v>2090000</v>
      </c>
    </row>
    <row r="583" spans="1:54" ht="20.100000000000001" hidden="1" customHeight="1">
      <c r="A583" s="68"/>
      <c r="B583" s="69"/>
      <c r="C583" s="240" t="s">
        <v>791</v>
      </c>
      <c r="D583" s="240"/>
      <c r="E583" s="241"/>
      <c r="F583" s="70"/>
      <c r="G583" s="71"/>
      <c r="H583" s="240" t="s">
        <v>143</v>
      </c>
      <c r="I583" s="240"/>
      <c r="J583" s="240"/>
      <c r="K583" s="241"/>
      <c r="L583" s="49"/>
      <c r="M583" s="49"/>
      <c r="N583" s="49"/>
      <c r="O583" s="49"/>
      <c r="P583" s="49"/>
      <c r="Q583" s="49"/>
      <c r="R583" s="72"/>
      <c r="S583" s="49"/>
      <c r="T583" s="49"/>
      <c r="U583" s="49"/>
      <c r="V583" s="49"/>
      <c r="W583" s="49"/>
      <c r="X583" s="49"/>
      <c r="Y583" s="49"/>
      <c r="Z583" s="49"/>
      <c r="AA583" s="49"/>
      <c r="AB583" s="49"/>
      <c r="AC583" s="49">
        <f t="shared" si="131"/>
        <v>0</v>
      </c>
      <c r="AD583" s="49"/>
      <c r="AE583" s="49"/>
      <c r="AF583" s="49"/>
      <c r="AG583" s="49"/>
      <c r="AH583" s="49"/>
      <c r="AI583" s="49"/>
      <c r="AJ583" s="49"/>
      <c r="AK583" s="49"/>
      <c r="AL583" s="49"/>
      <c r="AM583" s="49"/>
      <c r="AN583" s="49"/>
      <c r="AO583" s="49"/>
      <c r="AP583" s="42"/>
      <c r="AQ583" s="49"/>
      <c r="AR583" s="49"/>
      <c r="AS583" s="49"/>
      <c r="AT583" s="49"/>
      <c r="AU583" s="49"/>
      <c r="AV583" s="49"/>
      <c r="AW583" s="49"/>
      <c r="AX583" s="49"/>
      <c r="AY583" s="49"/>
      <c r="AZ583" s="73">
        <f t="shared" si="129"/>
        <v>0</v>
      </c>
    </row>
    <row r="584" spans="1:54" ht="20.100000000000001" hidden="1" customHeight="1">
      <c r="A584" s="68"/>
      <c r="B584" s="69"/>
      <c r="C584" s="240" t="s">
        <v>792</v>
      </c>
      <c r="D584" s="240"/>
      <c r="E584" s="241"/>
      <c r="F584" s="70"/>
      <c r="G584" s="71"/>
      <c r="H584" s="71"/>
      <c r="I584" s="240" t="s">
        <v>145</v>
      </c>
      <c r="J584" s="240"/>
      <c r="K584" s="241"/>
      <c r="L584" s="49"/>
      <c r="M584" s="49"/>
      <c r="N584" s="49"/>
      <c r="O584" s="49"/>
      <c r="P584" s="49"/>
      <c r="Q584" s="49"/>
      <c r="R584" s="72"/>
      <c r="S584" s="49"/>
      <c r="T584" s="49">
        <v>0</v>
      </c>
      <c r="U584" s="49">
        <f>T584+M584</f>
        <v>0</v>
      </c>
      <c r="V584" s="49">
        <f>T584+S584</f>
        <v>0</v>
      </c>
      <c r="W584" s="49"/>
      <c r="X584" s="49"/>
      <c r="Y584" s="49"/>
      <c r="Z584" s="49"/>
      <c r="AA584" s="49">
        <v>0</v>
      </c>
      <c r="AB584" s="49"/>
      <c r="AC584" s="49">
        <f t="shared" si="131"/>
        <v>0</v>
      </c>
      <c r="AD584" s="49"/>
      <c r="AE584" s="49"/>
      <c r="AF584" s="49"/>
      <c r="AG584" s="49"/>
      <c r="AH584" s="49"/>
      <c r="AI584" s="49"/>
      <c r="AJ584" s="49"/>
      <c r="AK584" s="49"/>
      <c r="AL584" s="49"/>
      <c r="AM584" s="49"/>
      <c r="AN584" s="49"/>
      <c r="AO584" s="49"/>
      <c r="AP584" s="42"/>
      <c r="AQ584" s="49"/>
      <c r="AR584" s="49"/>
      <c r="AS584" s="49"/>
      <c r="AT584" s="49"/>
      <c r="AU584" s="49"/>
      <c r="AV584" s="49"/>
      <c r="AW584" s="49"/>
      <c r="AX584" s="49"/>
      <c r="AY584" s="49"/>
      <c r="AZ584" s="73">
        <f t="shared" si="129"/>
        <v>0</v>
      </c>
    </row>
    <row r="585" spans="1:54" ht="20.100000000000001" hidden="1" customHeight="1">
      <c r="A585" s="68"/>
      <c r="B585" s="69"/>
      <c r="C585" s="240" t="s">
        <v>793</v>
      </c>
      <c r="D585" s="240"/>
      <c r="E585" s="241"/>
      <c r="F585" s="70"/>
      <c r="G585" s="71"/>
      <c r="H585" s="71"/>
      <c r="I585" s="71"/>
      <c r="J585" s="240" t="s">
        <v>147</v>
      </c>
      <c r="K585" s="241"/>
      <c r="L585" s="49">
        <v>1155000</v>
      </c>
      <c r="M585" s="49">
        <v>1155000</v>
      </c>
      <c r="N585" s="49">
        <v>1154800</v>
      </c>
      <c r="O585" s="49"/>
      <c r="P585" s="49"/>
      <c r="Q585" s="49">
        <f>SUM(N585:P585)</f>
        <v>1154800</v>
      </c>
      <c r="R585" s="72">
        <f>Q585/M585*100</f>
        <v>99.98268398268398</v>
      </c>
      <c r="S585" s="49">
        <f>M585-Q585</f>
        <v>200</v>
      </c>
      <c r="T585" s="49">
        <v>0</v>
      </c>
      <c r="U585" s="49">
        <f>T585+M585</f>
        <v>1155000</v>
      </c>
      <c r="V585" s="49">
        <f>T585+S585</f>
        <v>200</v>
      </c>
      <c r="W585" s="49"/>
      <c r="X585" s="49"/>
      <c r="Y585" s="49"/>
      <c r="Z585" s="49"/>
      <c r="AA585" s="49">
        <v>0</v>
      </c>
      <c r="AB585" s="49">
        <v>1155000</v>
      </c>
      <c r="AC585" s="49">
        <f t="shared" si="131"/>
        <v>0</v>
      </c>
      <c r="AD585" s="49">
        <f>AA585+T585+M585</f>
        <v>1155000</v>
      </c>
      <c r="AE585" s="49"/>
      <c r="AF585" s="49"/>
      <c r="AG585" s="49"/>
      <c r="AH585" s="49"/>
      <c r="AI585" s="49"/>
      <c r="AJ585" s="49"/>
      <c r="AK585" s="49">
        <f>Z585+Y585+X585+W585+N585+AG585+AE585+AJ585+AI585+AH585</f>
        <v>1154800</v>
      </c>
      <c r="AL585" s="49">
        <f>AK585/AD585*100</f>
        <v>99.98268398268398</v>
      </c>
      <c r="AM585" s="49"/>
      <c r="AN585" s="49"/>
      <c r="AO585" s="49"/>
      <c r="AP585" s="42"/>
      <c r="AQ585" s="49">
        <f>AK585+AM585+AN585+AO585+AP585</f>
        <v>1154800</v>
      </c>
      <c r="AR585" s="49">
        <f>AQ585/AB585*100</f>
        <v>99.98268398268398</v>
      </c>
      <c r="AS585" s="49">
        <f t="shared" si="126"/>
        <v>200</v>
      </c>
      <c r="AT585" s="49">
        <v>3091500</v>
      </c>
      <c r="AU585" s="49">
        <f>AT585+U585</f>
        <v>4246500</v>
      </c>
      <c r="AV585" s="49">
        <f>AK585</f>
        <v>1154800</v>
      </c>
      <c r="AW585" s="72">
        <f>AV585/AU585*100</f>
        <v>27.194159896385255</v>
      </c>
      <c r="AX585" s="49">
        <f>AU585-AV585</f>
        <v>3091700</v>
      </c>
      <c r="AY585" s="49">
        <f t="shared" si="127"/>
        <v>1.7316017316017316E-2</v>
      </c>
      <c r="AZ585" s="73">
        <f t="shared" si="129"/>
        <v>1154800</v>
      </c>
    </row>
    <row r="586" spans="1:54" ht="20.100000000000001" hidden="1" customHeight="1">
      <c r="A586" s="68"/>
      <c r="B586" s="69"/>
      <c r="C586" s="240" t="s">
        <v>794</v>
      </c>
      <c r="D586" s="240"/>
      <c r="E586" s="241"/>
      <c r="F586" s="70"/>
      <c r="G586" s="71"/>
      <c r="H586" s="71"/>
      <c r="I586" s="240" t="s">
        <v>163</v>
      </c>
      <c r="J586" s="240"/>
      <c r="K586" s="241"/>
      <c r="L586" s="49"/>
      <c r="M586" s="49"/>
      <c r="N586" s="49"/>
      <c r="O586" s="49"/>
      <c r="P586" s="49"/>
      <c r="Q586" s="49"/>
      <c r="R586" s="72"/>
      <c r="S586" s="49"/>
      <c r="T586" s="49"/>
      <c r="U586" s="49"/>
      <c r="V586" s="49"/>
      <c r="W586" s="49"/>
      <c r="X586" s="49"/>
      <c r="Y586" s="49"/>
      <c r="Z586" s="49"/>
      <c r="AA586" s="49"/>
      <c r="AB586" s="49"/>
      <c r="AC586" s="49">
        <f t="shared" si="131"/>
        <v>0</v>
      </c>
      <c r="AD586" s="49"/>
      <c r="AE586" s="49"/>
      <c r="AF586" s="49"/>
      <c r="AG586" s="49"/>
      <c r="AH586" s="49"/>
      <c r="AI586" s="49"/>
      <c r="AJ586" s="49"/>
      <c r="AK586" s="49"/>
      <c r="AL586" s="49"/>
      <c r="AM586" s="49"/>
      <c r="AN586" s="49"/>
      <c r="AO586" s="49"/>
      <c r="AP586" s="42"/>
      <c r="AQ586" s="49"/>
      <c r="AR586" s="49"/>
      <c r="AS586" s="49"/>
      <c r="AT586" s="49"/>
      <c r="AU586" s="49"/>
      <c r="AV586" s="49"/>
      <c r="AW586" s="49"/>
      <c r="AX586" s="49"/>
      <c r="AY586" s="49"/>
      <c r="AZ586" s="73">
        <f t="shared" si="129"/>
        <v>0</v>
      </c>
    </row>
    <row r="587" spans="1:54" ht="20.100000000000001" hidden="1" customHeight="1">
      <c r="A587" s="68"/>
      <c r="B587" s="69"/>
      <c r="C587" s="240" t="s">
        <v>795</v>
      </c>
      <c r="D587" s="240"/>
      <c r="E587" s="241"/>
      <c r="F587" s="70"/>
      <c r="G587" s="71"/>
      <c r="H587" s="71"/>
      <c r="I587" s="71"/>
      <c r="J587" s="240" t="s">
        <v>349</v>
      </c>
      <c r="K587" s="241"/>
      <c r="L587" s="49">
        <v>3625000</v>
      </c>
      <c r="M587" s="49">
        <v>625000</v>
      </c>
      <c r="N587" s="49">
        <v>625000</v>
      </c>
      <c r="O587" s="49"/>
      <c r="P587" s="49"/>
      <c r="Q587" s="49">
        <f>SUM(N587:P587)</f>
        <v>625000</v>
      </c>
      <c r="R587" s="72">
        <f>Q587/M587*100</f>
        <v>100</v>
      </c>
      <c r="S587" s="49">
        <f>M587-Q587</f>
        <v>0</v>
      </c>
      <c r="T587" s="49">
        <v>1000000</v>
      </c>
      <c r="U587" s="49">
        <f>T587+M587</f>
        <v>1625000</v>
      </c>
      <c r="V587" s="49">
        <f>T587+S587</f>
        <v>1000000</v>
      </c>
      <c r="W587" s="49">
        <v>1000000</v>
      </c>
      <c r="X587" s="49"/>
      <c r="Y587" s="49"/>
      <c r="Z587" s="49"/>
      <c r="AA587" s="49">
        <v>2000000</v>
      </c>
      <c r="AB587" s="49">
        <v>3625000</v>
      </c>
      <c r="AC587" s="49">
        <f t="shared" si="131"/>
        <v>0</v>
      </c>
      <c r="AD587" s="49">
        <f>AA587+T587+M587</f>
        <v>3625000</v>
      </c>
      <c r="AE587" s="49"/>
      <c r="AF587" s="49"/>
      <c r="AG587" s="49">
        <v>0</v>
      </c>
      <c r="AH587" s="49"/>
      <c r="AI587" s="49"/>
      <c r="AJ587" s="49"/>
      <c r="AK587" s="49">
        <f>Z587+Y587+X587+W587+N587+AG587+AE587+AJ587+AI587+AH587</f>
        <v>1625000</v>
      </c>
      <c r="AL587" s="49">
        <f>AK587/AD587*100</f>
        <v>44.827586206896555</v>
      </c>
      <c r="AM587" s="49"/>
      <c r="AN587" s="49"/>
      <c r="AO587" s="49"/>
      <c r="AP587" s="42">
        <v>2000000</v>
      </c>
      <c r="AQ587" s="49">
        <f>AK587+AM587+AN587+AO587+AP587</f>
        <v>3625000</v>
      </c>
      <c r="AR587" s="49">
        <f>AQ587/AB587*100</f>
        <v>100</v>
      </c>
      <c r="AS587" s="49">
        <f t="shared" si="126"/>
        <v>0</v>
      </c>
      <c r="AT587" s="49">
        <v>3091500</v>
      </c>
      <c r="AU587" s="49">
        <f>AT587+U587</f>
        <v>4716500</v>
      </c>
      <c r="AV587" s="49">
        <f>AK587</f>
        <v>1625000</v>
      </c>
      <c r="AW587" s="72">
        <f>AV587/AU587*100</f>
        <v>34.453514258454362</v>
      </c>
      <c r="AX587" s="49">
        <f>AU587-AV587</f>
        <v>3091500</v>
      </c>
      <c r="AY587" s="49">
        <f t="shared" si="127"/>
        <v>0</v>
      </c>
      <c r="AZ587" s="73">
        <f t="shared" si="129"/>
        <v>3625000</v>
      </c>
    </row>
    <row r="588" spans="1:54" ht="20.100000000000001" hidden="1" customHeight="1">
      <c r="A588" s="68"/>
      <c r="B588" s="69"/>
      <c r="C588" s="240" t="s">
        <v>796</v>
      </c>
      <c r="D588" s="240"/>
      <c r="E588" s="241"/>
      <c r="F588" s="70"/>
      <c r="G588" s="71"/>
      <c r="H588" s="71"/>
      <c r="I588" s="71"/>
      <c r="J588" s="240" t="s">
        <v>615</v>
      </c>
      <c r="K588" s="241"/>
      <c r="L588" s="49">
        <v>40000000</v>
      </c>
      <c r="M588" s="49">
        <v>0</v>
      </c>
      <c r="N588" s="49"/>
      <c r="O588" s="49"/>
      <c r="P588" s="49"/>
      <c r="Q588" s="49">
        <f>SUM(N588:P588)</f>
        <v>0</v>
      </c>
      <c r="R588" s="72"/>
      <c r="S588" s="49">
        <f>M588-Q588</f>
        <v>0</v>
      </c>
      <c r="T588" s="49">
        <v>0</v>
      </c>
      <c r="U588" s="49">
        <f>T588+M588</f>
        <v>0</v>
      </c>
      <c r="V588" s="49">
        <f>T588+S588</f>
        <v>0</v>
      </c>
      <c r="W588" s="49"/>
      <c r="X588" s="49"/>
      <c r="Y588" s="49"/>
      <c r="Z588" s="49"/>
      <c r="AA588" s="49">
        <v>0</v>
      </c>
      <c r="AB588" s="49">
        <v>40000000</v>
      </c>
      <c r="AC588" s="49">
        <f t="shared" si="131"/>
        <v>0</v>
      </c>
      <c r="AD588" s="49">
        <f>AA588+T588+M588</f>
        <v>0</v>
      </c>
      <c r="AE588" s="49"/>
      <c r="AF588" s="49"/>
      <c r="AG588" s="49"/>
      <c r="AH588" s="49"/>
      <c r="AI588" s="49"/>
      <c r="AJ588" s="49"/>
      <c r="AK588" s="49">
        <f>Z588+Y588+X588+W588+N588+AG588+AE588+AJ588+AI588+AH588</f>
        <v>0</v>
      </c>
      <c r="AL588" s="49" t="e">
        <f>AK588/AD588*100</f>
        <v>#DIV/0!</v>
      </c>
      <c r="AM588" s="42">
        <v>39875000</v>
      </c>
      <c r="AN588" s="49"/>
      <c r="AO588" s="49"/>
      <c r="AP588" s="42"/>
      <c r="AQ588" s="49">
        <f>AK588+AM588+AN588+AO588+AP588</f>
        <v>39875000</v>
      </c>
      <c r="AR588" s="49">
        <f>AQ588/AB588*100</f>
        <v>99.6875</v>
      </c>
      <c r="AS588" s="49">
        <f t="shared" si="126"/>
        <v>125000</v>
      </c>
      <c r="AT588" s="49">
        <v>3091500</v>
      </c>
      <c r="AU588" s="49">
        <f>AT588+U588</f>
        <v>3091500</v>
      </c>
      <c r="AV588" s="49">
        <f>AK588</f>
        <v>0</v>
      </c>
      <c r="AW588" s="72">
        <f>AV588/AU588*100</f>
        <v>0</v>
      </c>
      <c r="AX588" s="49">
        <f>AU588-AV588</f>
        <v>3091500</v>
      </c>
      <c r="AY588" s="49">
        <f t="shared" si="127"/>
        <v>0.3125</v>
      </c>
      <c r="AZ588" s="73">
        <f t="shared" si="129"/>
        <v>39875000</v>
      </c>
      <c r="BA588" s="29">
        <f>AS588</f>
        <v>125000</v>
      </c>
    </row>
    <row r="589" spans="1:54" ht="20.100000000000001" hidden="1" customHeight="1">
      <c r="A589" s="68"/>
      <c r="B589" s="69"/>
      <c r="C589" s="240" t="s">
        <v>797</v>
      </c>
      <c r="D589" s="240"/>
      <c r="E589" s="241"/>
      <c r="F589" s="70"/>
      <c r="G589" s="71"/>
      <c r="H589" s="71"/>
      <c r="I589" s="71"/>
      <c r="J589" s="240" t="s">
        <v>352</v>
      </c>
      <c r="K589" s="241"/>
      <c r="L589" s="49">
        <v>24000000</v>
      </c>
      <c r="M589" s="49">
        <v>4000000</v>
      </c>
      <c r="N589" s="49">
        <v>4000000</v>
      </c>
      <c r="O589" s="49"/>
      <c r="P589" s="49"/>
      <c r="Q589" s="49">
        <f>SUM(N589:P589)</f>
        <v>4000000</v>
      </c>
      <c r="R589" s="72">
        <f>Q589/M589*100</f>
        <v>100</v>
      </c>
      <c r="S589" s="49">
        <f>M589-Q589</f>
        <v>0</v>
      </c>
      <c r="T589" s="49">
        <v>4000000</v>
      </c>
      <c r="U589" s="49">
        <f>T589+M589</f>
        <v>8000000</v>
      </c>
      <c r="V589" s="49">
        <f>T589+S589</f>
        <v>4000000</v>
      </c>
      <c r="W589" s="49">
        <v>4000000</v>
      </c>
      <c r="X589" s="49"/>
      <c r="Y589" s="49"/>
      <c r="Z589" s="49"/>
      <c r="AA589" s="49">
        <v>8000000</v>
      </c>
      <c r="AB589" s="49">
        <v>24000000</v>
      </c>
      <c r="AC589" s="49">
        <f t="shared" si="131"/>
        <v>0</v>
      </c>
      <c r="AD589" s="49">
        <f>AA589+T589+M589</f>
        <v>16000000</v>
      </c>
      <c r="AE589" s="49"/>
      <c r="AF589" s="49"/>
      <c r="AG589" s="49">
        <v>4000000</v>
      </c>
      <c r="AH589" s="49"/>
      <c r="AI589" s="49"/>
      <c r="AJ589" s="49"/>
      <c r="AK589" s="49">
        <f>Z589+Y589+X589+W589+N589+AG589+AE589+AJ589+AI589+AH589</f>
        <v>12000000</v>
      </c>
      <c r="AL589" s="49">
        <f>AK589/AD589*100</f>
        <v>75</v>
      </c>
      <c r="AM589" s="49"/>
      <c r="AN589" s="49"/>
      <c r="AO589" s="49"/>
      <c r="AP589" s="42">
        <v>12000000</v>
      </c>
      <c r="AQ589" s="49">
        <f>AK589+AM589+AN589+AO589+AP589</f>
        <v>24000000</v>
      </c>
      <c r="AR589" s="49">
        <f>AQ589/AB589*100</f>
        <v>100</v>
      </c>
      <c r="AS589" s="49">
        <f t="shared" si="126"/>
        <v>0</v>
      </c>
      <c r="AT589" s="49">
        <v>3091500</v>
      </c>
      <c r="AU589" s="49">
        <f>AT589+U589</f>
        <v>11091500</v>
      </c>
      <c r="AV589" s="49">
        <f>AK589</f>
        <v>12000000</v>
      </c>
      <c r="AW589" s="72">
        <f>AV589/AU589*100</f>
        <v>108.19095703917414</v>
      </c>
      <c r="AX589" s="49">
        <f>AU589-AV589</f>
        <v>-908500</v>
      </c>
      <c r="AY589" s="49">
        <f t="shared" si="127"/>
        <v>0</v>
      </c>
      <c r="AZ589" s="73">
        <f t="shared" si="129"/>
        <v>24000000</v>
      </c>
    </row>
    <row r="590" spans="1:54" ht="20.100000000000001" hidden="1" customHeight="1">
      <c r="A590" s="68"/>
      <c r="B590" s="69"/>
      <c r="C590" s="240" t="s">
        <v>798</v>
      </c>
      <c r="D590" s="240"/>
      <c r="E590" s="241"/>
      <c r="F590" s="70"/>
      <c r="G590" s="71"/>
      <c r="H590" s="71"/>
      <c r="I590" s="240" t="s">
        <v>151</v>
      </c>
      <c r="J590" s="240"/>
      <c r="K590" s="241"/>
      <c r="L590" s="49"/>
      <c r="M590" s="49"/>
      <c r="N590" s="49"/>
      <c r="O590" s="49"/>
      <c r="P590" s="49"/>
      <c r="Q590" s="49"/>
      <c r="R590" s="72"/>
      <c r="S590" s="49"/>
      <c r="T590" s="49"/>
      <c r="U590" s="49"/>
      <c r="V590" s="49"/>
      <c r="W590" s="49"/>
      <c r="X590" s="49"/>
      <c r="Y590" s="49"/>
      <c r="Z590" s="49"/>
      <c r="AA590" s="49"/>
      <c r="AB590" s="49"/>
      <c r="AC590" s="49">
        <f t="shared" si="131"/>
        <v>0</v>
      </c>
      <c r="AD590" s="49"/>
      <c r="AE590" s="49"/>
      <c r="AF590" s="49"/>
      <c r="AG590" s="49"/>
      <c r="AH590" s="49"/>
      <c r="AI590" s="49"/>
      <c r="AJ590" s="49"/>
      <c r="AK590" s="49"/>
      <c r="AL590" s="49"/>
      <c r="AM590" s="49"/>
      <c r="AN590" s="49"/>
      <c r="AO590" s="49"/>
      <c r="AP590" s="42"/>
      <c r="AQ590" s="49"/>
      <c r="AR590" s="49"/>
      <c r="AS590" s="49"/>
      <c r="AT590" s="49"/>
      <c r="AU590" s="49"/>
      <c r="AV590" s="49"/>
      <c r="AW590" s="49"/>
      <c r="AX590" s="49"/>
      <c r="AY590" s="49"/>
      <c r="AZ590" s="73">
        <f t="shared" si="129"/>
        <v>0</v>
      </c>
    </row>
    <row r="591" spans="1:54" ht="20.100000000000001" hidden="1" customHeight="1">
      <c r="A591" s="68"/>
      <c r="B591" s="69"/>
      <c r="C591" s="240" t="s">
        <v>799</v>
      </c>
      <c r="D591" s="240"/>
      <c r="E591" s="241"/>
      <c r="F591" s="70"/>
      <c r="G591" s="71"/>
      <c r="H591" s="71"/>
      <c r="I591" s="71"/>
      <c r="J591" s="240" t="s">
        <v>153</v>
      </c>
      <c r="K591" s="241"/>
      <c r="L591" s="49">
        <v>20000000</v>
      </c>
      <c r="M591" s="49">
        <v>0</v>
      </c>
      <c r="N591" s="49"/>
      <c r="O591" s="49"/>
      <c r="P591" s="49"/>
      <c r="Q591" s="49">
        <f>SUM(N591:P591)</f>
        <v>0</v>
      </c>
      <c r="R591" s="72"/>
      <c r="S591" s="49">
        <f>M591-Q591</f>
        <v>0</v>
      </c>
      <c r="T591" s="49">
        <v>0</v>
      </c>
      <c r="U591" s="49">
        <f>T591+M591</f>
        <v>0</v>
      </c>
      <c r="V591" s="49">
        <f>T591+S591</f>
        <v>0</v>
      </c>
      <c r="W591" s="49"/>
      <c r="X591" s="49"/>
      <c r="Y591" s="49"/>
      <c r="Z591" s="49"/>
      <c r="AA591" s="49">
        <v>20000000</v>
      </c>
      <c r="AB591" s="49">
        <v>20000000</v>
      </c>
      <c r="AC591" s="49">
        <f t="shared" si="131"/>
        <v>0</v>
      </c>
      <c r="AD591" s="49">
        <f>AA591+T591+M591</f>
        <v>20000000</v>
      </c>
      <c r="AE591" s="49"/>
      <c r="AF591" s="49"/>
      <c r="AG591" s="49"/>
      <c r="AH591" s="49"/>
      <c r="AI591" s="49"/>
      <c r="AJ591" s="49"/>
      <c r="AK591" s="49">
        <f>Z591+Y591+X591+W591+N591+AG591+AE591+AJ591+AI591+AH591</f>
        <v>0</v>
      </c>
      <c r="AL591" s="49">
        <f>AK591/AD591*100</f>
        <v>0</v>
      </c>
      <c r="AM591" s="49"/>
      <c r="AN591" s="49"/>
      <c r="AO591" s="49"/>
      <c r="AP591" s="42"/>
      <c r="AQ591" s="49">
        <f>AK591+AM591+AN591+AO591+AP591</f>
        <v>0</v>
      </c>
      <c r="AR591" s="49">
        <f>AQ591/AB591*100</f>
        <v>0</v>
      </c>
      <c r="AS591" s="49">
        <f t="shared" si="126"/>
        <v>20000000</v>
      </c>
      <c r="AT591" s="49">
        <v>3091500</v>
      </c>
      <c r="AU591" s="49">
        <f>AT591+U591</f>
        <v>3091500</v>
      </c>
      <c r="AV591" s="49">
        <f>AK591</f>
        <v>0</v>
      </c>
      <c r="AW591" s="72">
        <f>AV591/AU591*100</f>
        <v>0</v>
      </c>
      <c r="AX591" s="49">
        <f>AU591-AV591</f>
        <v>3091500</v>
      </c>
      <c r="AY591" s="49">
        <f t="shared" si="127"/>
        <v>100</v>
      </c>
      <c r="AZ591" s="73">
        <f t="shared" si="129"/>
        <v>0</v>
      </c>
      <c r="BB591" s="29">
        <f>AS591</f>
        <v>20000000</v>
      </c>
    </row>
    <row r="592" spans="1:54" ht="20.100000000000001" hidden="1" customHeight="1">
      <c r="A592" s="68"/>
      <c r="B592" s="69"/>
      <c r="C592" s="240" t="s">
        <v>800</v>
      </c>
      <c r="D592" s="240"/>
      <c r="E592" s="241"/>
      <c r="F592" s="70"/>
      <c r="G592" s="71"/>
      <c r="H592" s="71"/>
      <c r="I592" s="71"/>
      <c r="J592" s="240" t="s">
        <v>155</v>
      </c>
      <c r="K592" s="241"/>
      <c r="L592" s="49">
        <v>788000</v>
      </c>
      <c r="M592" s="49">
        <v>0</v>
      </c>
      <c r="N592" s="49"/>
      <c r="O592" s="49"/>
      <c r="P592" s="49"/>
      <c r="Q592" s="49">
        <f>SUM(N592:P592)</f>
        <v>0</v>
      </c>
      <c r="R592" s="72"/>
      <c r="S592" s="49">
        <f>M592-Q592</f>
        <v>0</v>
      </c>
      <c r="T592" s="49">
        <v>788000</v>
      </c>
      <c r="U592" s="49">
        <f>T592+M592</f>
        <v>788000</v>
      </c>
      <c r="V592" s="49">
        <f>T592+S592</f>
        <v>788000</v>
      </c>
      <c r="W592" s="49">
        <v>787850</v>
      </c>
      <c r="X592" s="49"/>
      <c r="Y592" s="49"/>
      <c r="Z592" s="49"/>
      <c r="AA592" s="49">
        <v>0</v>
      </c>
      <c r="AB592" s="49">
        <v>788000</v>
      </c>
      <c r="AC592" s="49">
        <f t="shared" si="131"/>
        <v>0</v>
      </c>
      <c r="AD592" s="49">
        <f>AA592+T592+M592</f>
        <v>788000</v>
      </c>
      <c r="AE592" s="49"/>
      <c r="AF592" s="49"/>
      <c r="AG592" s="49">
        <v>0</v>
      </c>
      <c r="AH592" s="49"/>
      <c r="AI592" s="49">
        <v>0</v>
      </c>
      <c r="AJ592" s="49">
        <v>0</v>
      </c>
      <c r="AK592" s="49">
        <f>Z592+Y592+X592+W592+N592+AG592+AE592+AJ592+AI592+AH592</f>
        <v>787850</v>
      </c>
      <c r="AL592" s="49">
        <f>AK592/AD592*100</f>
        <v>99.98096446700508</v>
      </c>
      <c r="AM592" s="49"/>
      <c r="AN592" s="49"/>
      <c r="AO592" s="49"/>
      <c r="AP592" s="42"/>
      <c r="AQ592" s="49">
        <f>AK592+AM592+AN592+AO592+AP592</f>
        <v>787850</v>
      </c>
      <c r="AR592" s="49">
        <f>AQ592/AB592*100</f>
        <v>99.98096446700508</v>
      </c>
      <c r="AS592" s="49">
        <f t="shared" si="126"/>
        <v>150</v>
      </c>
      <c r="AT592" s="49">
        <v>3091500</v>
      </c>
      <c r="AU592" s="49">
        <f>AT592+U592</f>
        <v>3879500</v>
      </c>
      <c r="AV592" s="49">
        <f>AK592</f>
        <v>787850</v>
      </c>
      <c r="AW592" s="72">
        <f>AV592/AU592*100</f>
        <v>20.308029385230057</v>
      </c>
      <c r="AX592" s="49">
        <f>AU592-AV592</f>
        <v>3091650</v>
      </c>
      <c r="AY592" s="49">
        <f t="shared" si="127"/>
        <v>1.9035532994923856E-2</v>
      </c>
      <c r="AZ592" s="73">
        <f t="shared" si="129"/>
        <v>787850</v>
      </c>
    </row>
    <row r="593" spans="1:53" ht="20.100000000000001" hidden="1" customHeight="1">
      <c r="A593" s="68"/>
      <c r="B593" s="69"/>
      <c r="C593" s="240" t="s">
        <v>801</v>
      </c>
      <c r="D593" s="240"/>
      <c r="E593" s="241"/>
      <c r="F593" s="70"/>
      <c r="G593" s="71"/>
      <c r="H593" s="71"/>
      <c r="I593" s="71"/>
      <c r="J593" s="240" t="s">
        <v>309</v>
      </c>
      <c r="K593" s="241"/>
      <c r="L593" s="49">
        <v>325000</v>
      </c>
      <c r="M593" s="49">
        <v>0</v>
      </c>
      <c r="N593" s="49"/>
      <c r="O593" s="49"/>
      <c r="P593" s="49"/>
      <c r="Q593" s="49">
        <f>SUM(N593:P593)</f>
        <v>0</v>
      </c>
      <c r="R593" s="72"/>
      <c r="S593" s="49">
        <f>M593-Q593</f>
        <v>0</v>
      </c>
      <c r="T593" s="49">
        <v>0</v>
      </c>
      <c r="U593" s="49">
        <f>T593+M593</f>
        <v>0</v>
      </c>
      <c r="V593" s="49">
        <f>T593+S593</f>
        <v>0</v>
      </c>
      <c r="W593" s="49"/>
      <c r="X593" s="49"/>
      <c r="Y593" s="49"/>
      <c r="Z593" s="49"/>
      <c r="AA593" s="49">
        <v>325000</v>
      </c>
      <c r="AB593" s="49">
        <v>325000</v>
      </c>
      <c r="AC593" s="49">
        <f t="shared" si="131"/>
        <v>0</v>
      </c>
      <c r="AD593" s="49">
        <f>AA593+T593+M593</f>
        <v>325000</v>
      </c>
      <c r="AE593" s="49"/>
      <c r="AF593" s="49"/>
      <c r="AG593" s="49"/>
      <c r="AH593" s="49"/>
      <c r="AI593" s="49"/>
      <c r="AJ593" s="49"/>
      <c r="AK593" s="49">
        <f>Z593+Y593+X593+W593+N593+AG593+AE593+AJ593+AI593+AH593</f>
        <v>0</v>
      </c>
      <c r="AL593" s="49">
        <f>AK593/AD593*100</f>
        <v>0</v>
      </c>
      <c r="AM593" s="49"/>
      <c r="AN593" s="49"/>
      <c r="AO593" s="49"/>
      <c r="AP593" s="42">
        <v>325000</v>
      </c>
      <c r="AQ593" s="49">
        <f>AK593+AM593+AN593+AO593+AP593</f>
        <v>325000</v>
      </c>
      <c r="AR593" s="49">
        <f>AQ593/AB593*100</f>
        <v>100</v>
      </c>
      <c r="AS593" s="49">
        <f t="shared" si="126"/>
        <v>0</v>
      </c>
      <c r="AT593" s="49">
        <v>3091500</v>
      </c>
      <c r="AU593" s="49">
        <f>AT593+U593</f>
        <v>3091500</v>
      </c>
      <c r="AV593" s="49">
        <f>AK593</f>
        <v>0</v>
      </c>
      <c r="AW593" s="72">
        <f>AV593/AU593*100</f>
        <v>0</v>
      </c>
      <c r="AX593" s="49">
        <f>AU593-AV593</f>
        <v>3091500</v>
      </c>
      <c r="AY593" s="49">
        <f t="shared" si="127"/>
        <v>0</v>
      </c>
      <c r="AZ593" s="73">
        <f t="shared" si="129"/>
        <v>325000</v>
      </c>
    </row>
    <row r="594" spans="1:53" ht="20.100000000000001" hidden="1" customHeight="1">
      <c r="A594" s="68"/>
      <c r="B594" s="69"/>
      <c r="C594" s="240" t="s">
        <v>802</v>
      </c>
      <c r="D594" s="240"/>
      <c r="E594" s="241"/>
      <c r="F594" s="70"/>
      <c r="G594" s="71"/>
      <c r="H594" s="71"/>
      <c r="I594" s="240" t="s">
        <v>712</v>
      </c>
      <c r="J594" s="240"/>
      <c r="K594" s="241"/>
      <c r="L594" s="49"/>
      <c r="M594" s="49"/>
      <c r="N594" s="49"/>
      <c r="O594" s="49"/>
      <c r="P594" s="49"/>
      <c r="Q594" s="49"/>
      <c r="R594" s="72"/>
      <c r="S594" s="49"/>
      <c r="T594" s="49"/>
      <c r="U594" s="49"/>
      <c r="V594" s="49"/>
      <c r="W594" s="49"/>
      <c r="X594" s="49"/>
      <c r="Y594" s="49"/>
      <c r="Z594" s="49"/>
      <c r="AA594" s="49"/>
      <c r="AB594" s="49"/>
      <c r="AC594" s="49">
        <f t="shared" si="131"/>
        <v>0</v>
      </c>
      <c r="AD594" s="49"/>
      <c r="AE594" s="49"/>
      <c r="AF594" s="49"/>
      <c r="AG594" s="49"/>
      <c r="AH594" s="49"/>
      <c r="AI594" s="49"/>
      <c r="AJ594" s="49"/>
      <c r="AK594" s="49"/>
      <c r="AL594" s="49"/>
      <c r="AM594" s="49"/>
      <c r="AN594" s="49"/>
      <c r="AO594" s="49"/>
      <c r="AP594" s="42"/>
      <c r="AQ594" s="49"/>
      <c r="AR594" s="49"/>
      <c r="AS594" s="49"/>
      <c r="AT594" s="49"/>
      <c r="AU594" s="49"/>
      <c r="AV594" s="49"/>
      <c r="AW594" s="49"/>
      <c r="AX594" s="49"/>
      <c r="AY594" s="49"/>
      <c r="AZ594" s="73">
        <f t="shared" si="129"/>
        <v>0</v>
      </c>
    </row>
    <row r="595" spans="1:53" ht="20.100000000000001" hidden="1" customHeight="1">
      <c r="A595" s="68"/>
      <c r="B595" s="69"/>
      <c r="C595" s="240" t="s">
        <v>803</v>
      </c>
      <c r="D595" s="240"/>
      <c r="E595" s="241"/>
      <c r="F595" s="70"/>
      <c r="G595" s="71"/>
      <c r="H595" s="71"/>
      <c r="I595" s="71"/>
      <c r="J595" s="240" t="s">
        <v>714</v>
      </c>
      <c r="K595" s="241"/>
      <c r="L595" s="49">
        <v>8500000</v>
      </c>
      <c r="M595" s="49">
        <v>0</v>
      </c>
      <c r="N595" s="49"/>
      <c r="O595" s="49"/>
      <c r="P595" s="49"/>
      <c r="Q595" s="49">
        <f>SUM(N595:P595)</f>
        <v>0</v>
      </c>
      <c r="R595" s="72"/>
      <c r="S595" s="49">
        <f>M595-Q595</f>
        <v>0</v>
      </c>
      <c r="T595" s="49">
        <v>2500000</v>
      </c>
      <c r="U595" s="49">
        <f>T595+M595</f>
        <v>2500000</v>
      </c>
      <c r="V595" s="49">
        <f>T595+S595</f>
        <v>2500000</v>
      </c>
      <c r="W595" s="49">
        <v>2450000</v>
      </c>
      <c r="X595" s="49"/>
      <c r="Y595" s="49"/>
      <c r="Z595" s="49"/>
      <c r="AA595" s="49">
        <v>6000000</v>
      </c>
      <c r="AB595" s="49">
        <v>8500000</v>
      </c>
      <c r="AC595" s="49">
        <f t="shared" si="131"/>
        <v>0</v>
      </c>
      <c r="AD595" s="49">
        <f>AA595+T595+M595</f>
        <v>8500000</v>
      </c>
      <c r="AE595" s="49"/>
      <c r="AF595" s="49"/>
      <c r="AG595" s="49">
        <v>0</v>
      </c>
      <c r="AH595" s="49"/>
      <c r="AI595" s="49">
        <v>0</v>
      </c>
      <c r="AJ595" s="49">
        <v>0</v>
      </c>
      <c r="AK595" s="49">
        <f>Z595+Y595+X595+W595+N595+AG595+AE595+AJ595+AI595+AH595</f>
        <v>2450000</v>
      </c>
      <c r="AL595" s="49">
        <f>AK595/AD595*100</f>
        <v>28.823529411764703</v>
      </c>
      <c r="AM595" s="49"/>
      <c r="AN595" s="49"/>
      <c r="AO595" s="49"/>
      <c r="AP595" s="42">
        <v>2700000</v>
      </c>
      <c r="AQ595" s="49">
        <f>AK595+AM595+AN595+AO595+AP595</f>
        <v>5150000</v>
      </c>
      <c r="AR595" s="49">
        <f>AQ595/AB595*100</f>
        <v>60.588235294117645</v>
      </c>
      <c r="AS595" s="49">
        <f t="shared" si="126"/>
        <v>3350000</v>
      </c>
      <c r="AT595" s="49">
        <v>3091500</v>
      </c>
      <c r="AU595" s="49">
        <f>AT595+U595</f>
        <v>5591500</v>
      </c>
      <c r="AV595" s="49">
        <f>AK595</f>
        <v>2450000</v>
      </c>
      <c r="AW595" s="72">
        <f>AV595/AU595*100</f>
        <v>43.81650719842618</v>
      </c>
      <c r="AX595" s="49">
        <f>AU595-AV595</f>
        <v>3141500</v>
      </c>
      <c r="AY595" s="49">
        <f t="shared" si="127"/>
        <v>39.411764705882355</v>
      </c>
      <c r="AZ595" s="73">
        <f t="shared" si="129"/>
        <v>5150000</v>
      </c>
      <c r="BA595" s="29">
        <f>AS595</f>
        <v>3350000</v>
      </c>
    </row>
    <row r="596" spans="1:53" ht="20.100000000000001" hidden="1" customHeight="1">
      <c r="A596" s="68"/>
      <c r="B596" s="69"/>
      <c r="C596" s="240" t="s">
        <v>804</v>
      </c>
      <c r="D596" s="240"/>
      <c r="E596" s="241"/>
      <c r="F596" s="70"/>
      <c r="G596" s="71"/>
      <c r="H596" s="71"/>
      <c r="I596" s="240" t="s">
        <v>328</v>
      </c>
      <c r="J596" s="240"/>
      <c r="K596" s="241"/>
      <c r="L596" s="49"/>
      <c r="M596" s="49"/>
      <c r="N596" s="49"/>
      <c r="O596" s="49"/>
      <c r="P596" s="49"/>
      <c r="Q596" s="49"/>
      <c r="R596" s="72"/>
      <c r="S596" s="49"/>
      <c r="T596" s="49"/>
      <c r="U596" s="49"/>
      <c r="V596" s="49"/>
      <c r="W596" s="49"/>
      <c r="X596" s="49"/>
      <c r="Y596" s="49"/>
      <c r="Z596" s="49"/>
      <c r="AA596" s="49"/>
      <c r="AB596" s="49"/>
      <c r="AC596" s="49">
        <f t="shared" si="131"/>
        <v>0</v>
      </c>
      <c r="AD596" s="49"/>
      <c r="AE596" s="49"/>
      <c r="AF596" s="49"/>
      <c r="AG596" s="49"/>
      <c r="AH596" s="49"/>
      <c r="AI596" s="49"/>
      <c r="AJ596" s="49"/>
      <c r="AK596" s="49"/>
      <c r="AL596" s="49"/>
      <c r="AM596" s="49"/>
      <c r="AN596" s="49"/>
      <c r="AO596" s="49"/>
      <c r="AP596" s="42"/>
      <c r="AQ596" s="49"/>
      <c r="AR596" s="49"/>
      <c r="AS596" s="49"/>
      <c r="AT596" s="49"/>
      <c r="AU596" s="49"/>
      <c r="AV596" s="49"/>
      <c r="AW596" s="49"/>
      <c r="AX596" s="49"/>
      <c r="AY596" s="49"/>
      <c r="AZ596" s="73">
        <f t="shared" si="129"/>
        <v>0</v>
      </c>
    </row>
    <row r="597" spans="1:53" ht="20.100000000000001" hidden="1" customHeight="1">
      <c r="A597" s="68"/>
      <c r="B597" s="69"/>
      <c r="C597" s="240" t="s">
        <v>805</v>
      </c>
      <c r="D597" s="240"/>
      <c r="E597" s="241"/>
      <c r="F597" s="70"/>
      <c r="G597" s="71"/>
      <c r="H597" s="71"/>
      <c r="I597" s="71"/>
      <c r="J597" s="240" t="s">
        <v>330</v>
      </c>
      <c r="K597" s="241"/>
      <c r="L597" s="49">
        <v>2000000</v>
      </c>
      <c r="M597" s="49">
        <v>0</v>
      </c>
      <c r="N597" s="49"/>
      <c r="O597" s="49"/>
      <c r="P597" s="49"/>
      <c r="Q597" s="49">
        <f>SUM(N597:P597)</f>
        <v>0</v>
      </c>
      <c r="R597" s="72"/>
      <c r="S597" s="49">
        <f>M597-Q597</f>
        <v>0</v>
      </c>
      <c r="T597" s="49">
        <v>1000000</v>
      </c>
      <c r="U597" s="49">
        <f>T597+M597</f>
        <v>1000000</v>
      </c>
      <c r="V597" s="49">
        <f>T597+S597</f>
        <v>1000000</v>
      </c>
      <c r="W597" s="49">
        <v>1000000</v>
      </c>
      <c r="X597" s="49"/>
      <c r="Y597" s="49"/>
      <c r="Z597" s="49"/>
      <c r="AA597" s="49">
        <v>1000000</v>
      </c>
      <c r="AB597" s="49">
        <v>2000000</v>
      </c>
      <c r="AC597" s="49">
        <f t="shared" si="131"/>
        <v>0</v>
      </c>
      <c r="AD597" s="49">
        <f>AA597+T597+M597</f>
        <v>2000000</v>
      </c>
      <c r="AE597" s="49"/>
      <c r="AF597" s="49"/>
      <c r="AG597" s="49">
        <v>0</v>
      </c>
      <c r="AH597" s="49"/>
      <c r="AI597" s="49">
        <v>0</v>
      </c>
      <c r="AJ597" s="49">
        <v>0</v>
      </c>
      <c r="AK597" s="49">
        <f>Z597+Y597+X597+W597+N597+AG597+AE597+AJ597+AI597+AH597</f>
        <v>1000000</v>
      </c>
      <c r="AL597" s="49">
        <f>AK597/AD597*100</f>
        <v>50</v>
      </c>
      <c r="AM597" s="49"/>
      <c r="AN597" s="49"/>
      <c r="AO597" s="49"/>
      <c r="AP597" s="42">
        <v>1000000</v>
      </c>
      <c r="AQ597" s="49">
        <f>AK597+AM597+AN597+AO597+AP597</f>
        <v>2000000</v>
      </c>
      <c r="AR597" s="49">
        <f>AQ597/AB597*100</f>
        <v>100</v>
      </c>
      <c r="AS597" s="49">
        <f t="shared" si="126"/>
        <v>0</v>
      </c>
      <c r="AT597" s="49">
        <v>3091500</v>
      </c>
      <c r="AU597" s="49">
        <f>AT597+U597</f>
        <v>4091500</v>
      </c>
      <c r="AV597" s="49">
        <f>AK597</f>
        <v>1000000</v>
      </c>
      <c r="AW597" s="72">
        <f>AV597/AU597*100</f>
        <v>24.440914090186975</v>
      </c>
      <c r="AX597" s="49">
        <f>AU597-AV597</f>
        <v>3091500</v>
      </c>
      <c r="AY597" s="49">
        <f t="shared" si="127"/>
        <v>0</v>
      </c>
      <c r="AZ597" s="73">
        <f t="shared" si="129"/>
        <v>2000000</v>
      </c>
    </row>
    <row r="598" spans="1:53" ht="20.100000000000001" hidden="1" customHeight="1">
      <c r="A598" s="68"/>
      <c r="B598" s="69"/>
      <c r="C598" s="240" t="s">
        <v>806</v>
      </c>
      <c r="D598" s="240"/>
      <c r="E598" s="241"/>
      <c r="F598" s="70"/>
      <c r="G598" s="71"/>
      <c r="H598" s="71"/>
      <c r="I598" s="240" t="s">
        <v>193</v>
      </c>
      <c r="J598" s="240"/>
      <c r="K598" s="241"/>
      <c r="L598" s="49"/>
      <c r="M598" s="49"/>
      <c r="N598" s="49"/>
      <c r="O598" s="49"/>
      <c r="P598" s="49"/>
      <c r="Q598" s="49"/>
      <c r="R598" s="72"/>
      <c r="S598" s="49"/>
      <c r="T598" s="49"/>
      <c r="U598" s="49"/>
      <c r="V598" s="49"/>
      <c r="W598" s="49"/>
      <c r="X598" s="49"/>
      <c r="Y598" s="49"/>
      <c r="Z598" s="49"/>
      <c r="AA598" s="49"/>
      <c r="AB598" s="49"/>
      <c r="AC598" s="49">
        <f t="shared" si="131"/>
        <v>0</v>
      </c>
      <c r="AD598" s="49"/>
      <c r="AE598" s="49"/>
      <c r="AF598" s="49"/>
      <c r="AG598" s="49"/>
      <c r="AH598" s="49"/>
      <c r="AI598" s="49"/>
      <c r="AJ598" s="49"/>
      <c r="AK598" s="49"/>
      <c r="AL598" s="49"/>
      <c r="AM598" s="49"/>
      <c r="AN598" s="49"/>
      <c r="AO598" s="49"/>
      <c r="AP598" s="42"/>
      <c r="AQ598" s="49"/>
      <c r="AR598" s="49"/>
      <c r="AS598" s="49"/>
      <c r="AT598" s="49"/>
      <c r="AU598" s="49"/>
      <c r="AV598" s="49"/>
      <c r="AW598" s="49"/>
      <c r="AX598" s="49"/>
      <c r="AY598" s="49"/>
      <c r="AZ598" s="73">
        <f t="shared" si="129"/>
        <v>0</v>
      </c>
    </row>
    <row r="599" spans="1:53" ht="20.100000000000001" hidden="1" customHeight="1">
      <c r="A599" s="68"/>
      <c r="B599" s="69"/>
      <c r="C599" s="240" t="s">
        <v>807</v>
      </c>
      <c r="D599" s="240"/>
      <c r="E599" s="241"/>
      <c r="F599" s="70"/>
      <c r="G599" s="71"/>
      <c r="H599" s="71"/>
      <c r="I599" s="71"/>
      <c r="J599" s="240" t="s">
        <v>195</v>
      </c>
      <c r="K599" s="241"/>
      <c r="L599" s="49">
        <v>32655000</v>
      </c>
      <c r="M599" s="49">
        <v>4900000</v>
      </c>
      <c r="N599" s="49">
        <v>4900000</v>
      </c>
      <c r="O599" s="49"/>
      <c r="P599" s="49"/>
      <c r="Q599" s="49">
        <f>SUM(N599:P599)</f>
        <v>4900000</v>
      </c>
      <c r="R599" s="72">
        <f>Q599/M599*100</f>
        <v>100</v>
      </c>
      <c r="S599" s="49">
        <f>M599-Q599</f>
        <v>0</v>
      </c>
      <c r="T599" s="49">
        <v>6580000</v>
      </c>
      <c r="U599" s="49">
        <f>T599+M599</f>
        <v>11480000</v>
      </c>
      <c r="V599" s="49">
        <f>T599+S599</f>
        <v>6580000</v>
      </c>
      <c r="W599" s="49">
        <v>6580000</v>
      </c>
      <c r="X599" s="49"/>
      <c r="Y599" s="49"/>
      <c r="Z599" s="49"/>
      <c r="AA599" s="49">
        <v>11900000</v>
      </c>
      <c r="AB599" s="49">
        <v>32655000</v>
      </c>
      <c r="AC599" s="49">
        <f t="shared" si="131"/>
        <v>0</v>
      </c>
      <c r="AD599" s="49">
        <f>AA599+T599+M599</f>
        <v>23380000</v>
      </c>
      <c r="AE599" s="49"/>
      <c r="AF599" s="49"/>
      <c r="AG599" s="49">
        <v>4375000</v>
      </c>
      <c r="AH599" s="49"/>
      <c r="AI599" s="49"/>
      <c r="AJ599" s="49"/>
      <c r="AK599" s="49">
        <f>Z599+Y599+X599+W599+N599+AG599+AE599+AJ599+AI599+AH599</f>
        <v>15855000</v>
      </c>
      <c r="AL599" s="49">
        <f>AK599/AD599*100</f>
        <v>67.814371257485035</v>
      </c>
      <c r="AM599" s="49"/>
      <c r="AN599" s="49"/>
      <c r="AO599" s="49"/>
      <c r="AP599" s="42">
        <v>16800000</v>
      </c>
      <c r="AQ599" s="49">
        <f>AK599+AM599+AN599+AO599+AP599</f>
        <v>32655000</v>
      </c>
      <c r="AR599" s="49">
        <f>AQ599/AB599*100</f>
        <v>100</v>
      </c>
      <c r="AS599" s="49">
        <f t="shared" si="126"/>
        <v>0</v>
      </c>
      <c r="AT599" s="49">
        <v>3091500</v>
      </c>
      <c r="AU599" s="49">
        <f>AT599+U599</f>
        <v>14571500</v>
      </c>
      <c r="AV599" s="49">
        <f>AK599</f>
        <v>15855000</v>
      </c>
      <c r="AW599" s="72">
        <f>AV599/AU599*100</f>
        <v>108.80829015544042</v>
      </c>
      <c r="AX599" s="49">
        <f>AU599-AV599</f>
        <v>-1283500</v>
      </c>
      <c r="AY599" s="49">
        <f t="shared" si="127"/>
        <v>0</v>
      </c>
      <c r="AZ599" s="73">
        <f t="shared" si="129"/>
        <v>32655000</v>
      </c>
    </row>
    <row r="600" spans="1:53" ht="20.100000000000001" hidden="1" customHeight="1">
      <c r="A600" s="68"/>
      <c r="B600" s="69"/>
      <c r="C600" s="240" t="s">
        <v>808</v>
      </c>
      <c r="D600" s="240"/>
      <c r="E600" s="241"/>
      <c r="F600" s="70"/>
      <c r="G600" s="71"/>
      <c r="H600" s="71"/>
      <c r="I600" s="240" t="s">
        <v>157</v>
      </c>
      <c r="J600" s="240"/>
      <c r="K600" s="241"/>
      <c r="L600" s="49"/>
      <c r="M600" s="49"/>
      <c r="N600" s="49"/>
      <c r="O600" s="49"/>
      <c r="P600" s="49"/>
      <c r="Q600" s="49"/>
      <c r="R600" s="72"/>
      <c r="S600" s="49"/>
      <c r="T600" s="49"/>
      <c r="U600" s="49"/>
      <c r="V600" s="49"/>
      <c r="W600" s="49"/>
      <c r="X600" s="49"/>
      <c r="Y600" s="49"/>
      <c r="Z600" s="49"/>
      <c r="AA600" s="49"/>
      <c r="AB600" s="49"/>
      <c r="AC600" s="49">
        <f t="shared" si="131"/>
        <v>0</v>
      </c>
      <c r="AD600" s="49"/>
      <c r="AE600" s="49"/>
      <c r="AF600" s="49"/>
      <c r="AG600" s="49"/>
      <c r="AH600" s="49"/>
      <c r="AI600" s="49"/>
      <c r="AJ600" s="49"/>
      <c r="AK600" s="49"/>
      <c r="AL600" s="49"/>
      <c r="AM600" s="49"/>
      <c r="AN600" s="49"/>
      <c r="AO600" s="49"/>
      <c r="AP600" s="42"/>
      <c r="AQ600" s="49"/>
      <c r="AR600" s="49"/>
      <c r="AS600" s="49"/>
      <c r="AT600" s="49"/>
      <c r="AU600" s="49"/>
      <c r="AV600" s="49"/>
      <c r="AW600" s="49"/>
      <c r="AX600" s="49"/>
      <c r="AY600" s="49"/>
      <c r="AZ600" s="73">
        <f t="shared" si="129"/>
        <v>0</v>
      </c>
    </row>
    <row r="601" spans="1:53" ht="20.100000000000001" hidden="1" customHeight="1">
      <c r="A601" s="68"/>
      <c r="B601" s="69"/>
      <c r="C601" s="240" t="s">
        <v>809</v>
      </c>
      <c r="D601" s="240"/>
      <c r="E601" s="241"/>
      <c r="F601" s="70"/>
      <c r="G601" s="71"/>
      <c r="H601" s="71"/>
      <c r="I601" s="71"/>
      <c r="J601" s="240" t="s">
        <v>159</v>
      </c>
      <c r="K601" s="241"/>
      <c r="L601" s="49">
        <v>8480000</v>
      </c>
      <c r="M601" s="49">
        <v>2000000</v>
      </c>
      <c r="N601" s="49"/>
      <c r="O601" s="49"/>
      <c r="P601" s="49"/>
      <c r="Q601" s="49">
        <f>SUM(N601:P601)</f>
        <v>0</v>
      </c>
      <c r="R601" s="72">
        <f>Q601/M601*100</f>
        <v>0</v>
      </c>
      <c r="S601" s="49">
        <f>M601-Q601</f>
        <v>2000000</v>
      </c>
      <c r="T601" s="49">
        <v>1500000</v>
      </c>
      <c r="U601" s="49">
        <f>T601+M601</f>
        <v>3500000</v>
      </c>
      <c r="V601" s="49">
        <f>T601+S601</f>
        <v>3500000</v>
      </c>
      <c r="W601" s="49"/>
      <c r="X601" s="49"/>
      <c r="Y601" s="49"/>
      <c r="Z601" s="49"/>
      <c r="AA601" s="49">
        <v>3480000</v>
      </c>
      <c r="AB601" s="49">
        <v>8480000</v>
      </c>
      <c r="AC601" s="49">
        <f t="shared" si="131"/>
        <v>0</v>
      </c>
      <c r="AD601" s="49">
        <f>AA601+T601+M601</f>
        <v>6980000</v>
      </c>
      <c r="AE601" s="49"/>
      <c r="AF601" s="49"/>
      <c r="AG601" s="49"/>
      <c r="AH601" s="49"/>
      <c r="AI601" s="49"/>
      <c r="AJ601" s="49">
        <v>3730000</v>
      </c>
      <c r="AK601" s="49">
        <f>Z601+Y601+X601+W601+N601+AG601+AE601+AJ601+AI601+AH601</f>
        <v>3730000</v>
      </c>
      <c r="AL601" s="49">
        <f>AK601/AD601*100</f>
        <v>53.438395415472783</v>
      </c>
      <c r="AM601" s="49"/>
      <c r="AN601" s="49"/>
      <c r="AO601" s="49"/>
      <c r="AP601" s="42">
        <v>4750000</v>
      </c>
      <c r="AQ601" s="49">
        <f>AK601+AM601+AN601+AO601+AP601</f>
        <v>8480000</v>
      </c>
      <c r="AR601" s="49">
        <f>AQ601/AB601*100</f>
        <v>100</v>
      </c>
      <c r="AS601" s="49">
        <f t="shared" si="126"/>
        <v>0</v>
      </c>
      <c r="AT601" s="49">
        <v>3091500</v>
      </c>
      <c r="AU601" s="49">
        <f>AT601+U601</f>
        <v>6591500</v>
      </c>
      <c r="AV601" s="49">
        <f>AK601</f>
        <v>3730000</v>
      </c>
      <c r="AW601" s="72">
        <f>AV601/AU601*100</f>
        <v>56.588030038686185</v>
      </c>
      <c r="AX601" s="49">
        <f>AU601-AV601</f>
        <v>2861500</v>
      </c>
      <c r="AY601" s="49">
        <f t="shared" si="127"/>
        <v>0</v>
      </c>
      <c r="AZ601" s="73">
        <f t="shared" si="129"/>
        <v>8480000</v>
      </c>
    </row>
    <row r="602" spans="1:53" ht="20.100000000000001" hidden="1" customHeight="1">
      <c r="A602" s="68"/>
      <c r="B602" s="69"/>
      <c r="C602" s="240" t="s">
        <v>810</v>
      </c>
      <c r="D602" s="240"/>
      <c r="E602" s="241"/>
      <c r="F602" s="70"/>
      <c r="G602" s="71"/>
      <c r="H602" s="71"/>
      <c r="I602" s="71"/>
      <c r="J602" s="240" t="s">
        <v>207</v>
      </c>
      <c r="K602" s="241"/>
      <c r="L602" s="49">
        <v>4382000</v>
      </c>
      <c r="M602" s="49">
        <v>0</v>
      </c>
      <c r="N602" s="49"/>
      <c r="O602" s="49"/>
      <c r="P602" s="49"/>
      <c r="Q602" s="49">
        <f>SUM(N602:P602)</f>
        <v>0</v>
      </c>
      <c r="R602" s="72"/>
      <c r="S602" s="49">
        <f>M602-Q602</f>
        <v>0</v>
      </c>
      <c r="T602" s="49">
        <v>2310000</v>
      </c>
      <c r="U602" s="49">
        <f>T602+M602</f>
        <v>2310000</v>
      </c>
      <c r="V602" s="49">
        <f>T602+S602</f>
        <v>2310000</v>
      </c>
      <c r="W602" s="49"/>
      <c r="X602" s="49"/>
      <c r="Y602" s="49"/>
      <c r="Z602" s="49"/>
      <c r="AA602" s="49">
        <v>2072000</v>
      </c>
      <c r="AB602" s="49">
        <v>4382000</v>
      </c>
      <c r="AC602" s="49">
        <f t="shared" si="131"/>
        <v>0</v>
      </c>
      <c r="AD602" s="49">
        <f>AA602+T602+M602</f>
        <v>4382000</v>
      </c>
      <c r="AE602" s="49"/>
      <c r="AF602" s="49"/>
      <c r="AG602" s="49"/>
      <c r="AH602" s="49"/>
      <c r="AI602" s="49"/>
      <c r="AJ602" s="49">
        <v>3495000</v>
      </c>
      <c r="AK602" s="49">
        <f>Z602+Y602+X602+W602+N602+AG602+AE602+AJ602+AI602+AH602</f>
        <v>3495000</v>
      </c>
      <c r="AL602" s="49">
        <f>AK602/AD602*100</f>
        <v>79.758101323596534</v>
      </c>
      <c r="AM602" s="49"/>
      <c r="AN602" s="49"/>
      <c r="AO602" s="49"/>
      <c r="AP602" s="42">
        <v>800000</v>
      </c>
      <c r="AQ602" s="49">
        <f>AK602+AM602+AN602+AO602+AP602</f>
        <v>4295000</v>
      </c>
      <c r="AR602" s="49">
        <f>AQ602/AB602*100</f>
        <v>98.014605203103613</v>
      </c>
      <c r="AS602" s="49">
        <f t="shared" si="126"/>
        <v>87000</v>
      </c>
      <c r="AT602" s="49">
        <v>3091500</v>
      </c>
      <c r="AU602" s="49">
        <f>AT602+U602</f>
        <v>5401500</v>
      </c>
      <c r="AV602" s="49">
        <f>AK602</f>
        <v>3495000</v>
      </c>
      <c r="AW602" s="72">
        <f>AV602/AU602*100</f>
        <v>64.704248819772275</v>
      </c>
      <c r="AX602" s="49">
        <f>AU602-AV602</f>
        <v>1906500</v>
      </c>
      <c r="AY602" s="49">
        <f t="shared" si="127"/>
        <v>1.9853947968963943</v>
      </c>
      <c r="AZ602" s="73">
        <f t="shared" si="129"/>
        <v>4295000</v>
      </c>
      <c r="BA602" s="29">
        <f>AS602</f>
        <v>87000</v>
      </c>
    </row>
    <row r="603" spans="1:53" ht="20.100000000000001" hidden="1" customHeight="1">
      <c r="A603" s="68"/>
      <c r="B603" s="69"/>
      <c r="C603" s="240" t="s">
        <v>811</v>
      </c>
      <c r="D603" s="240"/>
      <c r="E603" s="241"/>
      <c r="F603" s="70"/>
      <c r="G603" s="71"/>
      <c r="H603" s="71"/>
      <c r="I603" s="240" t="s">
        <v>812</v>
      </c>
      <c r="J603" s="240"/>
      <c r="K603" s="241"/>
      <c r="L603" s="49"/>
      <c r="M603" s="49"/>
      <c r="N603" s="49"/>
      <c r="O603" s="49"/>
      <c r="P603" s="49"/>
      <c r="Q603" s="49"/>
      <c r="R603" s="72"/>
      <c r="S603" s="49"/>
      <c r="T603" s="49"/>
      <c r="U603" s="49"/>
      <c r="V603" s="49"/>
      <c r="W603" s="49"/>
      <c r="X603" s="49"/>
      <c r="Y603" s="49"/>
      <c r="Z603" s="49"/>
      <c r="AA603" s="49"/>
      <c r="AB603" s="49"/>
      <c r="AC603" s="49">
        <f t="shared" si="131"/>
        <v>0</v>
      </c>
      <c r="AD603" s="49"/>
      <c r="AE603" s="49"/>
      <c r="AF603" s="49"/>
      <c r="AG603" s="49"/>
      <c r="AH603" s="49"/>
      <c r="AI603" s="49"/>
      <c r="AJ603" s="49"/>
      <c r="AK603" s="49"/>
      <c r="AL603" s="49"/>
      <c r="AM603" s="49"/>
      <c r="AN603" s="49"/>
      <c r="AO603" s="49"/>
      <c r="AP603" s="42"/>
      <c r="AQ603" s="49"/>
      <c r="AR603" s="49"/>
      <c r="AS603" s="49"/>
      <c r="AT603" s="49"/>
      <c r="AU603" s="49"/>
      <c r="AV603" s="49"/>
      <c r="AW603" s="49"/>
      <c r="AX603" s="49"/>
      <c r="AY603" s="49"/>
      <c r="AZ603" s="73">
        <f t="shared" si="129"/>
        <v>0</v>
      </c>
    </row>
    <row r="604" spans="1:53" ht="20.100000000000001" hidden="1" customHeight="1">
      <c r="A604" s="68"/>
      <c r="B604" s="69"/>
      <c r="C604" s="240" t="s">
        <v>813</v>
      </c>
      <c r="D604" s="240"/>
      <c r="E604" s="241"/>
      <c r="F604" s="70"/>
      <c r="G604" s="71"/>
      <c r="H604" s="71"/>
      <c r="I604" s="71"/>
      <c r="J604" s="240" t="s">
        <v>814</v>
      </c>
      <c r="K604" s="241"/>
      <c r="L604" s="49">
        <v>46500000</v>
      </c>
      <c r="M604" s="49">
        <v>0</v>
      </c>
      <c r="N604" s="49"/>
      <c r="O604" s="49"/>
      <c r="P604" s="49"/>
      <c r="Q604" s="49">
        <f>SUM(N604:P604)</f>
        <v>0</v>
      </c>
      <c r="R604" s="72"/>
      <c r="S604" s="49">
        <f>M604-Q604</f>
        <v>0</v>
      </c>
      <c r="T604" s="49">
        <v>0</v>
      </c>
      <c r="U604" s="49">
        <f>T604+M604</f>
        <v>0</v>
      </c>
      <c r="V604" s="49">
        <f>T604+S604</f>
        <v>0</v>
      </c>
      <c r="W604" s="49"/>
      <c r="X604" s="49"/>
      <c r="Y604" s="49"/>
      <c r="Z604" s="49"/>
      <c r="AA604" s="49">
        <v>46500000</v>
      </c>
      <c r="AB604" s="49">
        <v>46500000</v>
      </c>
      <c r="AC604" s="49">
        <f t="shared" si="131"/>
        <v>0</v>
      </c>
      <c r="AD604" s="49">
        <f>AA604+T604+M604</f>
        <v>46500000</v>
      </c>
      <c r="AE604" s="49"/>
      <c r="AF604" s="49"/>
      <c r="AG604" s="49"/>
      <c r="AH604" s="49"/>
      <c r="AI604" s="49"/>
      <c r="AJ604" s="49"/>
      <c r="AK604" s="49">
        <f>Z604+Y604+X604+W604+N604+AG604+AE604+AJ604+AI604+AH604</f>
        <v>0</v>
      </c>
      <c r="AL604" s="49">
        <f>AK604/AD604*100</f>
        <v>0</v>
      </c>
      <c r="AM604" s="48"/>
      <c r="AN604" s="49"/>
      <c r="AO604" s="49"/>
      <c r="AP604" s="42">
        <v>0</v>
      </c>
      <c r="AQ604" s="49">
        <f>AK604+AM604+AN604+AO604+AP604</f>
        <v>0</v>
      </c>
      <c r="AR604" s="49">
        <f>AQ604/AB604*100</f>
        <v>0</v>
      </c>
      <c r="AS604" s="49">
        <f t="shared" si="126"/>
        <v>46500000</v>
      </c>
      <c r="AT604" s="49">
        <v>3091500</v>
      </c>
      <c r="AU604" s="49">
        <f>AT604+U604</f>
        <v>3091500</v>
      </c>
      <c r="AV604" s="49">
        <f>AK604</f>
        <v>0</v>
      </c>
      <c r="AW604" s="72">
        <f>AV604/AU604*100</f>
        <v>0</v>
      </c>
      <c r="AX604" s="49">
        <f>AU604-AV604</f>
        <v>3091500</v>
      </c>
      <c r="AY604" s="49">
        <f t="shared" si="127"/>
        <v>100</v>
      </c>
      <c r="AZ604" s="73">
        <f t="shared" si="129"/>
        <v>0</v>
      </c>
    </row>
    <row r="605" spans="1:53" ht="20.100000000000001" hidden="1" customHeight="1">
      <c r="A605" s="68"/>
      <c r="B605" s="69"/>
      <c r="C605" s="240" t="s">
        <v>815</v>
      </c>
      <c r="D605" s="240"/>
      <c r="E605" s="241"/>
      <c r="F605" s="70"/>
      <c r="G605" s="71"/>
      <c r="H605" s="71"/>
      <c r="I605" s="240" t="s">
        <v>402</v>
      </c>
      <c r="J605" s="240"/>
      <c r="K605" s="241"/>
      <c r="L605" s="49"/>
      <c r="M605" s="49"/>
      <c r="N605" s="49"/>
      <c r="O605" s="49"/>
      <c r="P605" s="49"/>
      <c r="Q605" s="49"/>
      <c r="R605" s="72"/>
      <c r="S605" s="49"/>
      <c r="T605" s="49"/>
      <c r="U605" s="49"/>
      <c r="V605" s="49"/>
      <c r="W605" s="49"/>
      <c r="X605" s="49"/>
      <c r="Y605" s="49"/>
      <c r="Z605" s="49"/>
      <c r="AA605" s="49"/>
      <c r="AB605" s="49"/>
      <c r="AC605" s="49">
        <f t="shared" si="131"/>
        <v>0</v>
      </c>
      <c r="AD605" s="49"/>
      <c r="AE605" s="49"/>
      <c r="AF605" s="49"/>
      <c r="AG605" s="49"/>
      <c r="AH605" s="49"/>
      <c r="AI605" s="49"/>
      <c r="AJ605" s="49"/>
      <c r="AK605" s="49"/>
      <c r="AL605" s="49"/>
      <c r="AM605" s="49"/>
      <c r="AN605" s="49"/>
      <c r="AO605" s="49"/>
      <c r="AP605" s="42"/>
      <c r="AQ605" s="49"/>
      <c r="AR605" s="49"/>
      <c r="AS605" s="49"/>
      <c r="AT605" s="49"/>
      <c r="AU605" s="49"/>
      <c r="AV605" s="49"/>
      <c r="AW605" s="49"/>
      <c r="AX605" s="49"/>
      <c r="AY605" s="49"/>
      <c r="AZ605" s="73">
        <f t="shared" si="129"/>
        <v>0</v>
      </c>
    </row>
    <row r="606" spans="1:53" ht="20.100000000000001" hidden="1" customHeight="1">
      <c r="A606" s="68"/>
      <c r="B606" s="69"/>
      <c r="C606" s="240" t="s">
        <v>816</v>
      </c>
      <c r="D606" s="240"/>
      <c r="E606" s="241"/>
      <c r="F606" s="70"/>
      <c r="G606" s="71"/>
      <c r="H606" s="71"/>
      <c r="I606" s="71"/>
      <c r="J606" s="240" t="s">
        <v>404</v>
      </c>
      <c r="K606" s="241"/>
      <c r="L606" s="49">
        <v>93000000</v>
      </c>
      <c r="M606" s="49">
        <v>10500000</v>
      </c>
      <c r="N606" s="49">
        <v>10500000</v>
      </c>
      <c r="O606" s="49"/>
      <c r="P606" s="49"/>
      <c r="Q606" s="49">
        <f>SUM(N606:P606)</f>
        <v>10500000</v>
      </c>
      <c r="R606" s="72">
        <f>Q606/M606*100</f>
        <v>100</v>
      </c>
      <c r="S606" s="49">
        <f>M606-Q606</f>
        <v>0</v>
      </c>
      <c r="T606" s="49">
        <v>25500000</v>
      </c>
      <c r="U606" s="49">
        <f>T606+M606</f>
        <v>36000000</v>
      </c>
      <c r="V606" s="49">
        <f>T606+S606</f>
        <v>25500000</v>
      </c>
      <c r="W606" s="49">
        <v>25500000</v>
      </c>
      <c r="X606" s="49"/>
      <c r="Y606" s="49"/>
      <c r="Z606" s="49"/>
      <c r="AA606" s="49">
        <v>28500000</v>
      </c>
      <c r="AB606" s="49">
        <v>93000000</v>
      </c>
      <c r="AC606" s="49">
        <f t="shared" si="131"/>
        <v>0</v>
      </c>
      <c r="AD606" s="49">
        <f>AA606+T606+M606</f>
        <v>64500000</v>
      </c>
      <c r="AE606" s="49"/>
      <c r="AF606" s="49"/>
      <c r="AG606" s="49">
        <v>18000000</v>
      </c>
      <c r="AH606" s="49"/>
      <c r="AI606" s="49"/>
      <c r="AJ606" s="49"/>
      <c r="AK606" s="49">
        <f>Z606+Y606+X606+W606+N606+AG606+AE606+AJ606+AI606+AH606</f>
        <v>54000000</v>
      </c>
      <c r="AL606" s="49">
        <f>AK606/AD606*100</f>
        <v>83.720930232558146</v>
      </c>
      <c r="AM606" s="49"/>
      <c r="AN606" s="49"/>
      <c r="AO606" s="49"/>
      <c r="AP606" s="42">
        <v>39000000</v>
      </c>
      <c r="AQ606" s="49">
        <f>AK606+AM606+AN606+AO606+AP606</f>
        <v>93000000</v>
      </c>
      <c r="AR606" s="49">
        <f>AQ606/AB606*100</f>
        <v>100</v>
      </c>
      <c r="AS606" s="49">
        <f t="shared" si="126"/>
        <v>0</v>
      </c>
      <c r="AT606" s="49">
        <v>3091500</v>
      </c>
      <c r="AU606" s="49">
        <f>AT606+U606</f>
        <v>39091500</v>
      </c>
      <c r="AV606" s="49">
        <f>AK606</f>
        <v>54000000</v>
      </c>
      <c r="AW606" s="72">
        <f>AV606/AU606*100</f>
        <v>138.13744675952572</v>
      </c>
      <c r="AX606" s="49">
        <f>AU606-AV606</f>
        <v>-14908500</v>
      </c>
      <c r="AY606" s="49">
        <f t="shared" si="127"/>
        <v>0</v>
      </c>
      <c r="AZ606" s="73">
        <f t="shared" si="129"/>
        <v>93000000</v>
      </c>
    </row>
    <row r="607" spans="1:53" ht="20.100000000000001" customHeight="1">
      <c r="A607" s="62">
        <v>36</v>
      </c>
      <c r="B607" s="63"/>
      <c r="C607" s="242" t="s">
        <v>817</v>
      </c>
      <c r="D607" s="242"/>
      <c r="E607" s="243"/>
      <c r="F607" s="64"/>
      <c r="G607" s="244" t="s">
        <v>818</v>
      </c>
      <c r="H607" s="244"/>
      <c r="I607" s="244"/>
      <c r="J607" s="244"/>
      <c r="K607" s="245"/>
      <c r="L607" s="65">
        <f>SUM(L610:L634)</f>
        <v>200000000</v>
      </c>
      <c r="M607" s="65">
        <f>SUM(M610:M634)</f>
        <v>3050000</v>
      </c>
      <c r="N607" s="65">
        <f>SUM(N610:N634)</f>
        <v>3049700</v>
      </c>
      <c r="O607" s="65">
        <f>SUM(O610:O634)</f>
        <v>0</v>
      </c>
      <c r="P607" s="65">
        <f>SUM(P610:P634)</f>
        <v>0</v>
      </c>
      <c r="Q607" s="65">
        <f>SUM(N607:P607)</f>
        <v>3049700</v>
      </c>
      <c r="R607" s="66">
        <f>Q607/M607*100</f>
        <v>99.990163934426235</v>
      </c>
      <c r="S607" s="65">
        <f>M607-Q607</f>
        <v>300</v>
      </c>
      <c r="T607" s="65">
        <f>SUM(T610:T634)</f>
        <v>25460000</v>
      </c>
      <c r="U607" s="65">
        <f>T607+M607</f>
        <v>28510000</v>
      </c>
      <c r="V607" s="65">
        <f>T607+S607</f>
        <v>25460300</v>
      </c>
      <c r="W607" s="65">
        <f>SUM(W610:W634)</f>
        <v>0</v>
      </c>
      <c r="X607" s="65">
        <f>SUM(X610:X634)</f>
        <v>0</v>
      </c>
      <c r="Y607" s="65">
        <f>SUM(Y610:Y634)</f>
        <v>0</v>
      </c>
      <c r="Z607" s="65"/>
      <c r="AA607" s="65">
        <f>SUM(AA610:AA634)</f>
        <v>85220000</v>
      </c>
      <c r="AB607" s="65">
        <f>SUM(AB610:AB634)</f>
        <v>200000000</v>
      </c>
      <c r="AC607" s="65">
        <f t="shared" si="131"/>
        <v>0</v>
      </c>
      <c r="AD607" s="65">
        <f>AA607+T607+M607</f>
        <v>113730000</v>
      </c>
      <c r="AE607" s="65">
        <f t="shared" ref="AE607:AK607" si="133">SUM(AE610:AE634)</f>
        <v>0</v>
      </c>
      <c r="AF607" s="65">
        <f t="shared" si="133"/>
        <v>0</v>
      </c>
      <c r="AG607" s="65">
        <f t="shared" si="133"/>
        <v>23060000</v>
      </c>
      <c r="AH607" s="65">
        <f t="shared" si="133"/>
        <v>0</v>
      </c>
      <c r="AI607" s="65">
        <f t="shared" si="133"/>
        <v>0</v>
      </c>
      <c r="AJ607" s="65">
        <f t="shared" si="133"/>
        <v>41900000</v>
      </c>
      <c r="AK607" s="65">
        <f t="shared" si="133"/>
        <v>68009700</v>
      </c>
      <c r="AL607" s="65">
        <f>AK607/AB607*100</f>
        <v>34.004849999999998</v>
      </c>
      <c r="AM607" s="65">
        <f>SUM(AM610:AM634)</f>
        <v>21210000</v>
      </c>
      <c r="AN607" s="65">
        <f>SUM(AN610:AN634)</f>
        <v>42500000</v>
      </c>
      <c r="AO607" s="65">
        <f>SUM(AO610:AO634)</f>
        <v>0</v>
      </c>
      <c r="AP607" s="65">
        <f>SUM(AP610:AP634)</f>
        <v>0</v>
      </c>
      <c r="AQ607" s="65">
        <f>AK607+AM607+AN607+AO607+AP607</f>
        <v>131719700</v>
      </c>
      <c r="AR607" s="65">
        <f>AQ607/AB607*100</f>
        <v>65.859849999999994</v>
      </c>
      <c r="AS607" s="65">
        <f>AB607-AQ607</f>
        <v>68280300</v>
      </c>
      <c r="AT607" s="65">
        <f>SUM(AT610:AT616)</f>
        <v>12366000</v>
      </c>
      <c r="AU607" s="65">
        <f>AT607+U607</f>
        <v>40876000</v>
      </c>
      <c r="AV607" s="65">
        <f>AK607</f>
        <v>68009700</v>
      </c>
      <c r="AW607" s="66">
        <f>AV607/AU607*100</f>
        <v>166.3805166846071</v>
      </c>
      <c r="AX607" s="65">
        <f>AU607-AV607</f>
        <v>-27133700</v>
      </c>
      <c r="AY607" s="65">
        <f>AS607/AB607*100</f>
        <v>34.140150000000006</v>
      </c>
      <c r="AZ607" s="67">
        <f t="shared" si="129"/>
        <v>131719700</v>
      </c>
    </row>
    <row r="608" spans="1:53" ht="20.100000000000001" hidden="1" customHeight="1">
      <c r="A608" s="68"/>
      <c r="B608" s="69"/>
      <c r="C608" s="240" t="s">
        <v>819</v>
      </c>
      <c r="D608" s="240"/>
      <c r="E608" s="241"/>
      <c r="F608" s="70"/>
      <c r="G608" s="71"/>
      <c r="H608" s="240" t="s">
        <v>10</v>
      </c>
      <c r="I608" s="240"/>
      <c r="J608" s="240"/>
      <c r="K608" s="241"/>
      <c r="L608" s="49"/>
      <c r="M608" s="49"/>
      <c r="N608" s="49"/>
      <c r="O608" s="49"/>
      <c r="P608" s="49"/>
      <c r="Q608" s="49"/>
      <c r="R608" s="72"/>
      <c r="S608" s="49"/>
      <c r="T608" s="49"/>
      <c r="U608" s="49"/>
      <c r="V608" s="49"/>
      <c r="W608" s="49"/>
      <c r="X608" s="49"/>
      <c r="Y608" s="49"/>
      <c r="Z608" s="49"/>
      <c r="AA608" s="49"/>
      <c r="AB608" s="49"/>
      <c r="AC608" s="49">
        <f t="shared" si="131"/>
        <v>0</v>
      </c>
      <c r="AD608" s="49"/>
      <c r="AE608" s="49"/>
      <c r="AF608" s="49"/>
      <c r="AG608" s="49"/>
      <c r="AH608" s="49"/>
      <c r="AI608" s="49"/>
      <c r="AJ608" s="49"/>
      <c r="AK608" s="49"/>
      <c r="AL608" s="49"/>
      <c r="AM608" s="42">
        <f>44530000-AN607</f>
        <v>2030000</v>
      </c>
      <c r="AN608" s="49"/>
      <c r="AO608" s="49"/>
      <c r="AP608" s="49"/>
      <c r="AQ608" s="49"/>
      <c r="AR608" s="49"/>
      <c r="AS608" s="49"/>
      <c r="AT608" s="49"/>
      <c r="AU608" s="49"/>
      <c r="AV608" s="49"/>
      <c r="AW608" s="49"/>
      <c r="AX608" s="49"/>
      <c r="AY608" s="49"/>
      <c r="AZ608" s="73">
        <f t="shared" si="129"/>
        <v>0</v>
      </c>
    </row>
    <row r="609" spans="1:53" ht="20.100000000000001" hidden="1" customHeight="1">
      <c r="A609" s="68"/>
      <c r="B609" s="69"/>
      <c r="C609" s="240" t="s">
        <v>820</v>
      </c>
      <c r="D609" s="240"/>
      <c r="E609" s="241"/>
      <c r="F609" s="70"/>
      <c r="G609" s="71"/>
      <c r="H609" s="71"/>
      <c r="I609" s="240" t="s">
        <v>177</v>
      </c>
      <c r="J609" s="240"/>
      <c r="K609" s="241"/>
      <c r="L609" s="49"/>
      <c r="M609" s="49"/>
      <c r="N609" s="49"/>
      <c r="O609" s="49"/>
      <c r="P609" s="49"/>
      <c r="Q609" s="49"/>
      <c r="R609" s="72"/>
      <c r="S609" s="49"/>
      <c r="T609" s="49"/>
      <c r="U609" s="49"/>
      <c r="V609" s="49"/>
      <c r="W609" s="49"/>
      <c r="X609" s="49"/>
      <c r="Y609" s="49"/>
      <c r="Z609" s="49"/>
      <c r="AA609" s="49"/>
      <c r="AB609" s="49"/>
      <c r="AC609" s="49">
        <f t="shared" si="131"/>
        <v>0</v>
      </c>
      <c r="AD609" s="49"/>
      <c r="AE609" s="49"/>
      <c r="AF609" s="49"/>
      <c r="AG609" s="49"/>
      <c r="AH609" s="49"/>
      <c r="AI609" s="49"/>
      <c r="AJ609" s="49"/>
      <c r="AK609" s="49"/>
      <c r="AL609" s="49"/>
      <c r="AM609" s="49"/>
      <c r="AN609" s="49"/>
      <c r="AO609" s="49"/>
      <c r="AP609" s="49"/>
      <c r="AQ609" s="49"/>
      <c r="AR609" s="49"/>
      <c r="AS609" s="49"/>
      <c r="AT609" s="49"/>
      <c r="AU609" s="49"/>
      <c r="AV609" s="49"/>
      <c r="AW609" s="49"/>
      <c r="AX609" s="49"/>
      <c r="AY609" s="49"/>
      <c r="AZ609" s="73">
        <f t="shared" si="129"/>
        <v>0</v>
      </c>
    </row>
    <row r="610" spans="1:53" ht="20.100000000000001" hidden="1" customHeight="1">
      <c r="A610" s="68"/>
      <c r="B610" s="69"/>
      <c r="C610" s="240" t="s">
        <v>821</v>
      </c>
      <c r="D610" s="240"/>
      <c r="E610" s="241"/>
      <c r="F610" s="70"/>
      <c r="G610" s="71"/>
      <c r="H610" s="71"/>
      <c r="I610" s="71"/>
      <c r="J610" s="240" t="s">
        <v>283</v>
      </c>
      <c r="K610" s="241"/>
      <c r="L610" s="49">
        <v>15000000</v>
      </c>
      <c r="M610" s="49">
        <v>0</v>
      </c>
      <c r="N610" s="49"/>
      <c r="O610" s="49"/>
      <c r="P610" s="49"/>
      <c r="Q610" s="49">
        <f>SUM(N610:P610)</f>
        <v>0</v>
      </c>
      <c r="R610" s="72"/>
      <c r="S610" s="49">
        <f>M610-Q610</f>
        <v>0</v>
      </c>
      <c r="T610" s="49">
        <v>0</v>
      </c>
      <c r="U610" s="49">
        <f>T610+M610</f>
        <v>0</v>
      </c>
      <c r="V610" s="49">
        <f>T610+S610</f>
        <v>0</v>
      </c>
      <c r="W610" s="49"/>
      <c r="X610" s="49"/>
      <c r="Y610" s="49"/>
      <c r="Z610" s="49"/>
      <c r="AA610" s="49">
        <v>11250000</v>
      </c>
      <c r="AB610" s="49">
        <v>15000000</v>
      </c>
      <c r="AC610" s="49">
        <f t="shared" si="131"/>
        <v>0</v>
      </c>
      <c r="AD610" s="49">
        <f>AA610+T610+M610</f>
        <v>11250000</v>
      </c>
      <c r="AE610" s="49"/>
      <c r="AF610" s="49"/>
      <c r="AG610" s="49"/>
      <c r="AH610" s="49"/>
      <c r="AI610" s="49"/>
      <c r="AJ610" s="49"/>
      <c r="AK610" s="49">
        <f>Z610+Y610+X610+W610+N610+AG610+AE610+AJ610+AI610+AH610</f>
        <v>0</v>
      </c>
      <c r="AL610" s="49">
        <f>AK610/AD610*100</f>
        <v>0</v>
      </c>
      <c r="AM610" s="49"/>
      <c r="AN610" s="42">
        <v>15000000</v>
      </c>
      <c r="AO610" s="49"/>
      <c r="AP610" s="49"/>
      <c r="AQ610" s="49">
        <f>AK610+AM610+AN610+AO610+AP610</f>
        <v>15000000</v>
      </c>
      <c r="AR610" s="49">
        <f>AQ610/AB610*100</f>
        <v>100</v>
      </c>
      <c r="AS610" s="49">
        <f>AB610-AQ610</f>
        <v>0</v>
      </c>
      <c r="AT610" s="49">
        <v>3091500</v>
      </c>
      <c r="AU610" s="49">
        <f>AT610+U610</f>
        <v>3091500</v>
      </c>
      <c r="AV610" s="49">
        <f>AK610</f>
        <v>0</v>
      </c>
      <c r="AW610" s="72">
        <f>AV610/AU610*100</f>
        <v>0</v>
      </c>
      <c r="AX610" s="49">
        <f>AU610-AV610</f>
        <v>3091500</v>
      </c>
      <c r="AY610" s="49">
        <f t="shared" ref="AY610:AY672" si="134">AS610/AB610*100</f>
        <v>0</v>
      </c>
      <c r="AZ610" s="73">
        <f t="shared" si="129"/>
        <v>15000000</v>
      </c>
    </row>
    <row r="611" spans="1:53" ht="20.100000000000001" hidden="1" customHeight="1">
      <c r="A611" s="68"/>
      <c r="B611" s="69"/>
      <c r="C611" s="240" t="s">
        <v>822</v>
      </c>
      <c r="D611" s="240"/>
      <c r="E611" s="241"/>
      <c r="F611" s="70"/>
      <c r="G611" s="71"/>
      <c r="H611" s="71"/>
      <c r="I611" s="71"/>
      <c r="J611" s="240" t="s">
        <v>384</v>
      </c>
      <c r="K611" s="241"/>
      <c r="L611" s="49">
        <v>1240000</v>
      </c>
      <c r="M611" s="49">
        <v>0</v>
      </c>
      <c r="N611" s="49"/>
      <c r="O611" s="49"/>
      <c r="P611" s="49"/>
      <c r="Q611" s="49">
        <f>SUM(N611:P611)</f>
        <v>0</v>
      </c>
      <c r="R611" s="72"/>
      <c r="S611" s="49">
        <f>M611-Q611</f>
        <v>0</v>
      </c>
      <c r="T611" s="49">
        <v>0</v>
      </c>
      <c r="U611" s="49">
        <f>T611+M611</f>
        <v>0</v>
      </c>
      <c r="V611" s="49">
        <f>T611+S611</f>
        <v>0</v>
      </c>
      <c r="W611" s="49"/>
      <c r="X611" s="49"/>
      <c r="Y611" s="49"/>
      <c r="Z611" s="49"/>
      <c r="AA611" s="49">
        <v>1240000</v>
      </c>
      <c r="AB611" s="49">
        <v>1240000</v>
      </c>
      <c r="AC611" s="49">
        <f t="shared" si="131"/>
        <v>0</v>
      </c>
      <c r="AD611" s="49">
        <f>AA611+T611+M611</f>
        <v>1240000</v>
      </c>
      <c r="AE611" s="49"/>
      <c r="AF611" s="49"/>
      <c r="AG611" s="49"/>
      <c r="AH611" s="49"/>
      <c r="AI611" s="49"/>
      <c r="AJ611" s="49"/>
      <c r="AK611" s="49">
        <f>Z611+Y611+X611+W611+N611+AG611+AE611+AJ611+AI611+AH611</f>
        <v>0</v>
      </c>
      <c r="AL611" s="49">
        <f>AK611/AD611*100</f>
        <v>0</v>
      </c>
      <c r="AM611" s="49"/>
      <c r="AN611" s="42">
        <v>1240000</v>
      </c>
      <c r="AO611" s="49"/>
      <c r="AP611" s="49"/>
      <c r="AQ611" s="49">
        <f>AK611+AM611+AN611+AO611+AP611</f>
        <v>1240000</v>
      </c>
      <c r="AR611" s="49">
        <f>AQ611/AB611*100</f>
        <v>100</v>
      </c>
      <c r="AS611" s="49">
        <f>AB611-AQ611</f>
        <v>0</v>
      </c>
      <c r="AT611" s="49">
        <v>3091500</v>
      </c>
      <c r="AU611" s="49">
        <f>AT611+U611</f>
        <v>3091500</v>
      </c>
      <c r="AV611" s="49">
        <f>AK611</f>
        <v>0</v>
      </c>
      <c r="AW611" s="72">
        <f>AV611/AU611*100</f>
        <v>0</v>
      </c>
      <c r="AX611" s="49">
        <f>AU611-AV611</f>
        <v>3091500</v>
      </c>
      <c r="AY611" s="49">
        <f t="shared" si="134"/>
        <v>0</v>
      </c>
      <c r="AZ611" s="73">
        <f t="shared" si="129"/>
        <v>1240000</v>
      </c>
    </row>
    <row r="612" spans="1:53" ht="20.100000000000001" hidden="1" customHeight="1">
      <c r="A612" s="68"/>
      <c r="B612" s="69"/>
      <c r="C612" s="240" t="s">
        <v>823</v>
      </c>
      <c r="D612" s="240"/>
      <c r="E612" s="241"/>
      <c r="F612" s="70"/>
      <c r="G612" s="71"/>
      <c r="H612" s="240" t="s">
        <v>143</v>
      </c>
      <c r="I612" s="240"/>
      <c r="J612" s="240"/>
      <c r="K612" s="241"/>
      <c r="L612" s="49"/>
      <c r="M612" s="49"/>
      <c r="N612" s="49"/>
      <c r="O612" s="49"/>
      <c r="P612" s="49"/>
      <c r="Q612" s="49"/>
      <c r="R612" s="72"/>
      <c r="S612" s="49"/>
      <c r="T612" s="49"/>
      <c r="U612" s="49"/>
      <c r="V612" s="49"/>
      <c r="W612" s="49"/>
      <c r="X612" s="49"/>
      <c r="Y612" s="49"/>
      <c r="Z612" s="49"/>
      <c r="AA612" s="49"/>
      <c r="AB612" s="49"/>
      <c r="AC612" s="49">
        <f t="shared" si="131"/>
        <v>0</v>
      </c>
      <c r="AD612" s="49"/>
      <c r="AE612" s="49"/>
      <c r="AF612" s="49"/>
      <c r="AG612" s="49"/>
      <c r="AH612" s="49"/>
      <c r="AI612" s="49"/>
      <c r="AJ612" s="49"/>
      <c r="AK612" s="49"/>
      <c r="AL612" s="49"/>
      <c r="AM612" s="49"/>
      <c r="AN612" s="49"/>
      <c r="AO612" s="49"/>
      <c r="AP612" s="49"/>
      <c r="AQ612" s="49"/>
      <c r="AR612" s="49"/>
      <c r="AS612" s="49"/>
      <c r="AT612" s="49"/>
      <c r="AU612" s="49"/>
      <c r="AV612" s="49"/>
      <c r="AW612" s="49"/>
      <c r="AX612" s="49"/>
      <c r="AY612" s="49"/>
      <c r="AZ612" s="73">
        <f t="shared" ref="AZ612:AZ675" si="135">AQ612-AO612</f>
        <v>0</v>
      </c>
    </row>
    <row r="613" spans="1:53" ht="20.100000000000001" hidden="1" customHeight="1">
      <c r="A613" s="68"/>
      <c r="B613" s="69"/>
      <c r="C613" s="240" t="s">
        <v>824</v>
      </c>
      <c r="D613" s="240"/>
      <c r="E613" s="241"/>
      <c r="F613" s="70"/>
      <c r="G613" s="71"/>
      <c r="H613" s="71"/>
      <c r="I613" s="240" t="s">
        <v>145</v>
      </c>
      <c r="J613" s="240"/>
      <c r="K613" s="241"/>
      <c r="L613" s="49"/>
      <c r="M613" s="49"/>
      <c r="N613" s="49"/>
      <c r="O613" s="49"/>
      <c r="P613" s="49"/>
      <c r="Q613" s="49"/>
      <c r="R613" s="72"/>
      <c r="S613" s="49"/>
      <c r="T613" s="49">
        <v>0</v>
      </c>
      <c r="U613" s="49">
        <f>T613+M613</f>
        <v>0</v>
      </c>
      <c r="V613" s="49">
        <f>T613+S613</f>
        <v>0</v>
      </c>
      <c r="W613" s="49"/>
      <c r="X613" s="49"/>
      <c r="Y613" s="49"/>
      <c r="Z613" s="49"/>
      <c r="AA613" s="49">
        <v>0</v>
      </c>
      <c r="AB613" s="49"/>
      <c r="AC613" s="49">
        <f t="shared" si="131"/>
        <v>0</v>
      </c>
      <c r="AD613" s="49"/>
      <c r="AE613" s="49"/>
      <c r="AF613" s="49"/>
      <c r="AG613" s="49"/>
      <c r="AH613" s="49"/>
      <c r="AI613" s="49"/>
      <c r="AJ613" s="49"/>
      <c r="AK613" s="49"/>
      <c r="AL613" s="49"/>
      <c r="AM613" s="49"/>
      <c r="AN613" s="49"/>
      <c r="AO613" s="49"/>
      <c r="AP613" s="49"/>
      <c r="AQ613" s="49"/>
      <c r="AR613" s="49"/>
      <c r="AS613" s="49"/>
      <c r="AT613" s="49"/>
      <c r="AU613" s="49"/>
      <c r="AV613" s="49"/>
      <c r="AW613" s="49"/>
      <c r="AX613" s="49"/>
      <c r="AY613" s="49"/>
      <c r="AZ613" s="73">
        <f t="shared" si="135"/>
        <v>0</v>
      </c>
    </row>
    <row r="614" spans="1:53" ht="20.100000000000001" hidden="1" customHeight="1">
      <c r="A614" s="68"/>
      <c r="B614" s="69"/>
      <c r="C614" s="240" t="s">
        <v>825</v>
      </c>
      <c r="D614" s="240"/>
      <c r="E614" s="241"/>
      <c r="F614" s="70"/>
      <c r="G614" s="71"/>
      <c r="H614" s="71"/>
      <c r="I614" s="71"/>
      <c r="J614" s="240" t="s">
        <v>147</v>
      </c>
      <c r="K614" s="241"/>
      <c r="L614" s="49">
        <v>3050000</v>
      </c>
      <c r="M614" s="49">
        <v>3050000</v>
      </c>
      <c r="N614" s="49">
        <v>3049700</v>
      </c>
      <c r="O614" s="49"/>
      <c r="P614" s="49"/>
      <c r="Q614" s="49">
        <f>SUM(N614:P614)</f>
        <v>3049700</v>
      </c>
      <c r="R614" s="72">
        <f>Q614/M614*100</f>
        <v>99.990163934426235</v>
      </c>
      <c r="S614" s="49">
        <f>M614-Q614</f>
        <v>300</v>
      </c>
      <c r="T614" s="49">
        <v>0</v>
      </c>
      <c r="U614" s="49">
        <f>T614+M614</f>
        <v>3050000</v>
      </c>
      <c r="V614" s="49">
        <f>T614+S614</f>
        <v>300</v>
      </c>
      <c r="W614" s="49"/>
      <c r="X614" s="49"/>
      <c r="Y614" s="49"/>
      <c r="Z614" s="49"/>
      <c r="AA614" s="49">
        <v>0</v>
      </c>
      <c r="AB614" s="49">
        <v>3050000</v>
      </c>
      <c r="AC614" s="49">
        <f t="shared" si="131"/>
        <v>0</v>
      </c>
      <c r="AD614" s="49">
        <f>AA614+T614+M614</f>
        <v>3050000</v>
      </c>
      <c r="AE614" s="49"/>
      <c r="AF614" s="49"/>
      <c r="AG614" s="49"/>
      <c r="AH614" s="49"/>
      <c r="AI614" s="49"/>
      <c r="AJ614" s="49"/>
      <c r="AK614" s="49">
        <f>Z614+Y614+X614+W614+N614+AG614+AE614+AJ614+AI614+AH614</f>
        <v>3049700</v>
      </c>
      <c r="AL614" s="49">
        <f>AK614/AD614*100</f>
        <v>99.990163934426235</v>
      </c>
      <c r="AM614" s="49"/>
      <c r="AN614" s="49"/>
      <c r="AO614" s="49"/>
      <c r="AP614" s="49"/>
      <c r="AQ614" s="49">
        <f>AK614+AM614+AN614+AO614+AP614</f>
        <v>3049700</v>
      </c>
      <c r="AR614" s="49">
        <f>AQ614/AB614*100</f>
        <v>99.990163934426235</v>
      </c>
      <c r="AS614" s="49">
        <f t="shared" ref="AS614:AS673" si="136">AB614-AQ614</f>
        <v>300</v>
      </c>
      <c r="AT614" s="49">
        <v>3091500</v>
      </c>
      <c r="AU614" s="49">
        <f>AT614+U614</f>
        <v>6141500</v>
      </c>
      <c r="AV614" s="49">
        <f>AK614</f>
        <v>3049700</v>
      </c>
      <c r="AW614" s="72">
        <f>AV614/AU614*100</f>
        <v>49.657249857526665</v>
      </c>
      <c r="AX614" s="49">
        <f>AU614-AV614</f>
        <v>3091800</v>
      </c>
      <c r="AY614" s="49">
        <f t="shared" si="134"/>
        <v>9.8360655737704909E-3</v>
      </c>
      <c r="AZ614" s="73">
        <f t="shared" si="135"/>
        <v>3049700</v>
      </c>
    </row>
    <row r="615" spans="1:53" ht="20.100000000000001" hidden="1" customHeight="1">
      <c r="A615" s="68"/>
      <c r="B615" s="69"/>
      <c r="C615" s="240" t="s">
        <v>826</v>
      </c>
      <c r="D615" s="240"/>
      <c r="E615" s="241"/>
      <c r="F615" s="70"/>
      <c r="G615" s="71"/>
      <c r="H615" s="71"/>
      <c r="I615" s="240" t="s">
        <v>389</v>
      </c>
      <c r="J615" s="240"/>
      <c r="K615" s="241"/>
      <c r="L615" s="49"/>
      <c r="M615" s="49"/>
      <c r="N615" s="49"/>
      <c r="O615" s="49"/>
      <c r="P615" s="49"/>
      <c r="Q615" s="49"/>
      <c r="R615" s="72"/>
      <c r="S615" s="49"/>
      <c r="T615" s="49"/>
      <c r="U615" s="49"/>
      <c r="V615" s="49"/>
      <c r="W615" s="49"/>
      <c r="X615" s="49"/>
      <c r="Y615" s="49"/>
      <c r="Z615" s="49"/>
      <c r="AA615" s="49"/>
      <c r="AB615" s="49"/>
      <c r="AC615" s="49">
        <f t="shared" si="131"/>
        <v>0</v>
      </c>
      <c r="AD615" s="49"/>
      <c r="AE615" s="49"/>
      <c r="AF615" s="49"/>
      <c r="AG615" s="49"/>
      <c r="AH615" s="49"/>
      <c r="AI615" s="49"/>
      <c r="AJ615" s="49"/>
      <c r="AK615" s="49"/>
      <c r="AL615" s="49"/>
      <c r="AM615" s="49"/>
      <c r="AN615" s="49"/>
      <c r="AO615" s="49"/>
      <c r="AP615" s="49"/>
      <c r="AQ615" s="49"/>
      <c r="AR615" s="49"/>
      <c r="AS615" s="49"/>
      <c r="AT615" s="49"/>
      <c r="AU615" s="49"/>
      <c r="AV615" s="49"/>
      <c r="AW615" s="49"/>
      <c r="AX615" s="49"/>
      <c r="AY615" s="49"/>
      <c r="AZ615" s="73">
        <f t="shared" si="135"/>
        <v>0</v>
      </c>
    </row>
    <row r="616" spans="1:53" ht="20.100000000000001" hidden="1" customHeight="1">
      <c r="A616" s="68"/>
      <c r="B616" s="69"/>
      <c r="C616" s="240" t="s">
        <v>827</v>
      </c>
      <c r="D616" s="240"/>
      <c r="E616" s="241"/>
      <c r="F616" s="70"/>
      <c r="G616" s="71"/>
      <c r="H616" s="71"/>
      <c r="I616" s="71"/>
      <c r="J616" s="240" t="s">
        <v>610</v>
      </c>
      <c r="K616" s="241"/>
      <c r="L616" s="49">
        <v>400000</v>
      </c>
      <c r="M616" s="49">
        <v>0</v>
      </c>
      <c r="N616" s="49"/>
      <c r="O616" s="49"/>
      <c r="P616" s="49"/>
      <c r="Q616" s="49">
        <f>SUM(N616:P616)</f>
        <v>0</v>
      </c>
      <c r="R616" s="72"/>
      <c r="S616" s="49">
        <f>M616-Q616</f>
        <v>0</v>
      </c>
      <c r="T616" s="49">
        <v>0</v>
      </c>
      <c r="U616" s="49">
        <f>T616+M616</f>
        <v>0</v>
      </c>
      <c r="V616" s="49">
        <f>T616+S616</f>
        <v>0</v>
      </c>
      <c r="W616" s="49"/>
      <c r="X616" s="49"/>
      <c r="Y616" s="49"/>
      <c r="Z616" s="49"/>
      <c r="AA616" s="49">
        <v>400000</v>
      </c>
      <c r="AB616" s="49">
        <v>400000</v>
      </c>
      <c r="AC616" s="49">
        <f t="shared" si="131"/>
        <v>0</v>
      </c>
      <c r="AD616" s="49">
        <f>AA616+T616+M616</f>
        <v>400000</v>
      </c>
      <c r="AE616" s="49"/>
      <c r="AF616" s="49"/>
      <c r="AG616" s="49"/>
      <c r="AH616" s="49"/>
      <c r="AI616" s="49"/>
      <c r="AJ616" s="49"/>
      <c r="AK616" s="49">
        <f>Z616+Y616+X616+W616+N616+AG616+AE616+AJ616+AI616+AH616</f>
        <v>0</v>
      </c>
      <c r="AL616" s="49">
        <f>AK616/AD616*100</f>
        <v>0</v>
      </c>
      <c r="AM616" s="49"/>
      <c r="AN616" s="42">
        <v>400000</v>
      </c>
      <c r="AO616" s="49"/>
      <c r="AP616" s="49"/>
      <c r="AQ616" s="49">
        <f>AK616+AM616+AN616+AO616+AP616</f>
        <v>400000</v>
      </c>
      <c r="AR616" s="49">
        <f>AQ616/AB616*100</f>
        <v>100</v>
      </c>
      <c r="AS616" s="49">
        <f t="shared" si="136"/>
        <v>0</v>
      </c>
      <c r="AT616" s="49">
        <v>3091500</v>
      </c>
      <c r="AU616" s="49">
        <f>AT616+U616</f>
        <v>3091500</v>
      </c>
      <c r="AV616" s="49">
        <f>AK616</f>
        <v>0</v>
      </c>
      <c r="AW616" s="72">
        <f>AV616/AU616*100</f>
        <v>0</v>
      </c>
      <c r="AX616" s="49">
        <f>AU616-AV616</f>
        <v>3091500</v>
      </c>
      <c r="AY616" s="49">
        <f t="shared" si="134"/>
        <v>0</v>
      </c>
      <c r="AZ616" s="73">
        <f t="shared" si="135"/>
        <v>400000</v>
      </c>
    </row>
    <row r="617" spans="1:53" ht="20.100000000000001" hidden="1" customHeight="1">
      <c r="A617" s="68"/>
      <c r="B617" s="69"/>
      <c r="C617" s="240" t="s">
        <v>828</v>
      </c>
      <c r="D617" s="240"/>
      <c r="E617" s="241"/>
      <c r="F617" s="70"/>
      <c r="G617" s="71"/>
      <c r="H617" s="71"/>
      <c r="I617" s="71"/>
      <c r="J617" s="240" t="s">
        <v>391</v>
      </c>
      <c r="K617" s="241"/>
      <c r="L617" s="49">
        <v>15500000</v>
      </c>
      <c r="M617" s="49">
        <v>0</v>
      </c>
      <c r="N617" s="49"/>
      <c r="O617" s="49"/>
      <c r="P617" s="49"/>
      <c r="Q617" s="49">
        <f>SUM(N617:P617)</f>
        <v>0</v>
      </c>
      <c r="R617" s="72"/>
      <c r="S617" s="49">
        <f>M617-Q617</f>
        <v>0</v>
      </c>
      <c r="T617" s="49">
        <v>0</v>
      </c>
      <c r="U617" s="49">
        <f>T617+M617</f>
        <v>0</v>
      </c>
      <c r="V617" s="49">
        <f>T617+S617</f>
        <v>0</v>
      </c>
      <c r="W617" s="49"/>
      <c r="X617" s="49"/>
      <c r="Y617" s="49"/>
      <c r="Z617" s="49"/>
      <c r="AA617" s="49">
        <v>15500000</v>
      </c>
      <c r="AB617" s="49">
        <v>15500000</v>
      </c>
      <c r="AC617" s="49">
        <f t="shared" si="131"/>
        <v>0</v>
      </c>
      <c r="AD617" s="49">
        <f>AA617+T617+M617</f>
        <v>15500000</v>
      </c>
      <c r="AE617" s="49"/>
      <c r="AF617" s="49"/>
      <c r="AG617" s="49"/>
      <c r="AH617" s="49"/>
      <c r="AI617" s="49"/>
      <c r="AJ617" s="49"/>
      <c r="AK617" s="49">
        <f>Z617+Y617+X617+W617+N617+AG617+AE617+AJ617+AI617+AH617</f>
        <v>0</v>
      </c>
      <c r="AL617" s="49">
        <f>AK617/AD617*100</f>
        <v>0</v>
      </c>
      <c r="AM617" s="48"/>
      <c r="AN617" s="49"/>
      <c r="AO617" s="49"/>
      <c r="AP617" s="49"/>
      <c r="AQ617" s="49">
        <f>AK617+AM617+AN617+AO617+AP617</f>
        <v>0</v>
      </c>
      <c r="AR617" s="49">
        <f>AQ617/AB617*100</f>
        <v>0</v>
      </c>
      <c r="AS617" s="49">
        <f t="shared" si="136"/>
        <v>15500000</v>
      </c>
      <c r="AT617" s="49">
        <v>3091500</v>
      </c>
      <c r="AU617" s="49">
        <f>AT617+U617</f>
        <v>3091500</v>
      </c>
      <c r="AV617" s="49">
        <f>AK617</f>
        <v>0</v>
      </c>
      <c r="AW617" s="72">
        <f>AV617/AU617*100</f>
        <v>0</v>
      </c>
      <c r="AX617" s="49">
        <f>AU617-AV617</f>
        <v>3091500</v>
      </c>
      <c r="AY617" s="49">
        <f t="shared" si="134"/>
        <v>100</v>
      </c>
      <c r="AZ617" s="73">
        <f t="shared" si="135"/>
        <v>0</v>
      </c>
      <c r="BA617" s="29">
        <f>AS617</f>
        <v>15500000</v>
      </c>
    </row>
    <row r="618" spans="1:53" ht="20.100000000000001" hidden="1" customHeight="1">
      <c r="A618" s="68"/>
      <c r="B618" s="69"/>
      <c r="C618" s="240" t="s">
        <v>829</v>
      </c>
      <c r="D618" s="240"/>
      <c r="E618" s="241"/>
      <c r="F618" s="70"/>
      <c r="G618" s="71"/>
      <c r="H618" s="71"/>
      <c r="I618" s="240" t="s">
        <v>163</v>
      </c>
      <c r="J618" s="240"/>
      <c r="K618" s="241"/>
      <c r="L618" s="49"/>
      <c r="M618" s="49"/>
      <c r="N618" s="49"/>
      <c r="O618" s="49"/>
      <c r="P618" s="49"/>
      <c r="Q618" s="49"/>
      <c r="R618" s="72"/>
      <c r="S618" s="49"/>
      <c r="T618" s="49"/>
      <c r="U618" s="49"/>
      <c r="V618" s="49"/>
      <c r="W618" s="49"/>
      <c r="X618" s="49"/>
      <c r="Y618" s="49"/>
      <c r="Z618" s="49"/>
      <c r="AA618" s="49"/>
      <c r="AB618" s="49"/>
      <c r="AC618" s="49">
        <f t="shared" si="131"/>
        <v>0</v>
      </c>
      <c r="AD618" s="49"/>
      <c r="AE618" s="49"/>
      <c r="AF618" s="49"/>
      <c r="AG618" s="49"/>
      <c r="AH618" s="49"/>
      <c r="AI618" s="49"/>
      <c r="AJ618" s="49"/>
      <c r="AK618" s="49"/>
      <c r="AL618" s="49"/>
      <c r="AM618" s="49"/>
      <c r="AN618" s="49"/>
      <c r="AO618" s="49"/>
      <c r="AP618" s="49"/>
      <c r="AQ618" s="49"/>
      <c r="AR618" s="49"/>
      <c r="AS618" s="49"/>
      <c r="AT618" s="49"/>
      <c r="AU618" s="49"/>
      <c r="AV618" s="49"/>
      <c r="AW618" s="49"/>
      <c r="AX618" s="49"/>
      <c r="AY618" s="49"/>
      <c r="AZ618" s="73">
        <f t="shared" si="135"/>
        <v>0</v>
      </c>
    </row>
    <row r="619" spans="1:53" ht="20.100000000000001" hidden="1" customHeight="1">
      <c r="A619" s="68"/>
      <c r="B619" s="69"/>
      <c r="C619" s="240" t="s">
        <v>830</v>
      </c>
      <c r="D619" s="240"/>
      <c r="E619" s="241"/>
      <c r="F619" s="70"/>
      <c r="G619" s="71"/>
      <c r="H619" s="71"/>
      <c r="I619" s="71"/>
      <c r="J619" s="240" t="s">
        <v>447</v>
      </c>
      <c r="K619" s="241"/>
      <c r="L619" s="49">
        <v>22500000</v>
      </c>
      <c r="M619" s="49">
        <v>0</v>
      </c>
      <c r="N619" s="49"/>
      <c r="O619" s="49"/>
      <c r="P619" s="49"/>
      <c r="Q619" s="49">
        <f>SUM(N619:P619)</f>
        <v>0</v>
      </c>
      <c r="R619" s="72"/>
      <c r="S619" s="49">
        <f>M619-Q619</f>
        <v>0</v>
      </c>
      <c r="T619" s="49">
        <v>22500000</v>
      </c>
      <c r="U619" s="49">
        <f>T619+M619</f>
        <v>22500000</v>
      </c>
      <c r="V619" s="49">
        <f>T619+S619</f>
        <v>22500000</v>
      </c>
      <c r="W619" s="49"/>
      <c r="X619" s="49"/>
      <c r="Y619" s="49"/>
      <c r="Z619" s="49"/>
      <c r="AA619" s="49">
        <v>0</v>
      </c>
      <c r="AB619" s="49">
        <v>22500000</v>
      </c>
      <c r="AC619" s="49">
        <f t="shared" si="131"/>
        <v>0</v>
      </c>
      <c r="AD619" s="49">
        <f>AA619+T619+M619</f>
        <v>22500000</v>
      </c>
      <c r="AE619" s="49"/>
      <c r="AF619" s="49"/>
      <c r="AG619" s="49">
        <v>22500000</v>
      </c>
      <c r="AH619" s="49"/>
      <c r="AI619" s="49"/>
      <c r="AJ619" s="49"/>
      <c r="AK619" s="49">
        <f>Z619+Y619+X619+W619+N619+AG619+AE619+AJ619+AI619+AH619</f>
        <v>22500000</v>
      </c>
      <c r="AL619" s="49">
        <f>AK619/AD619*100</f>
        <v>100</v>
      </c>
      <c r="AM619" s="49"/>
      <c r="AN619" s="49"/>
      <c r="AO619" s="49"/>
      <c r="AP619" s="49"/>
      <c r="AQ619" s="49">
        <f>AK619+AM619+AN619+AO619+AP619</f>
        <v>22500000</v>
      </c>
      <c r="AR619" s="49">
        <f>AQ619/AB619*100</f>
        <v>100</v>
      </c>
      <c r="AS619" s="49">
        <f t="shared" si="136"/>
        <v>0</v>
      </c>
      <c r="AT619" s="49">
        <v>3091500</v>
      </c>
      <c r="AU619" s="49">
        <f>AT619+U619</f>
        <v>25591500</v>
      </c>
      <c r="AV619" s="49">
        <f>AK619</f>
        <v>22500000</v>
      </c>
      <c r="AW619" s="72">
        <f>AV619/AU619*100</f>
        <v>87.919817126780373</v>
      </c>
      <c r="AX619" s="49">
        <f>AU619-AV619</f>
        <v>3091500</v>
      </c>
      <c r="AY619" s="49">
        <f t="shared" si="134"/>
        <v>0</v>
      </c>
      <c r="AZ619" s="73">
        <f t="shared" si="135"/>
        <v>22500000</v>
      </c>
    </row>
    <row r="620" spans="1:53" ht="20.100000000000001" hidden="1" customHeight="1">
      <c r="A620" s="68"/>
      <c r="B620" s="69"/>
      <c r="C620" s="240" t="s">
        <v>831</v>
      </c>
      <c r="D620" s="240"/>
      <c r="E620" s="241"/>
      <c r="F620" s="70"/>
      <c r="G620" s="71"/>
      <c r="H620" s="71"/>
      <c r="I620" s="71"/>
      <c r="J620" s="240" t="s">
        <v>349</v>
      </c>
      <c r="K620" s="241"/>
      <c r="L620" s="49">
        <v>3250000</v>
      </c>
      <c r="M620" s="49">
        <v>0</v>
      </c>
      <c r="N620" s="49"/>
      <c r="O620" s="49"/>
      <c r="P620" s="49"/>
      <c r="Q620" s="49">
        <f>SUM(N620:P620)</f>
        <v>0</v>
      </c>
      <c r="R620" s="72"/>
      <c r="S620" s="49">
        <f>M620-Q620</f>
        <v>0</v>
      </c>
      <c r="T620" s="49">
        <v>0</v>
      </c>
      <c r="U620" s="49">
        <f>T620+M620</f>
        <v>0</v>
      </c>
      <c r="V620" s="49">
        <f>T620+S620</f>
        <v>0</v>
      </c>
      <c r="W620" s="49"/>
      <c r="X620" s="49"/>
      <c r="Y620" s="49"/>
      <c r="Z620" s="49"/>
      <c r="AA620" s="49">
        <v>250000</v>
      </c>
      <c r="AB620" s="49">
        <v>3250000</v>
      </c>
      <c r="AC620" s="49">
        <f t="shared" si="131"/>
        <v>0</v>
      </c>
      <c r="AD620" s="49">
        <f>AA620+T620+M620</f>
        <v>250000</v>
      </c>
      <c r="AE620" s="49"/>
      <c r="AF620" s="49"/>
      <c r="AG620" s="49"/>
      <c r="AH620" s="49"/>
      <c r="AI620" s="49"/>
      <c r="AJ620" s="49"/>
      <c r="AK620" s="49">
        <f>Z620+Y620+X620+W620+N620+AG620+AE620+AJ620+AI620+AH620</f>
        <v>0</v>
      </c>
      <c r="AL620" s="49">
        <f>AK620/AD620*100</f>
        <v>0</v>
      </c>
      <c r="AM620" s="49"/>
      <c r="AN620" s="42">
        <v>3250000</v>
      </c>
      <c r="AO620" s="49"/>
      <c r="AP620" s="49"/>
      <c r="AQ620" s="49">
        <f>AK620+AM620+AN620+AO620+AP620</f>
        <v>3250000</v>
      </c>
      <c r="AR620" s="49">
        <f>AQ620/AB620*100</f>
        <v>100</v>
      </c>
      <c r="AS620" s="49">
        <f t="shared" si="136"/>
        <v>0</v>
      </c>
      <c r="AT620" s="49">
        <v>3091500</v>
      </c>
      <c r="AU620" s="49">
        <f>AT620+U620</f>
        <v>3091500</v>
      </c>
      <c r="AV620" s="49">
        <f>AK620</f>
        <v>0</v>
      </c>
      <c r="AW620" s="72">
        <f>AV620/AU620*100</f>
        <v>0</v>
      </c>
      <c r="AX620" s="49">
        <f>AU620-AV620</f>
        <v>3091500</v>
      </c>
      <c r="AY620" s="49">
        <f t="shared" si="134"/>
        <v>0</v>
      </c>
      <c r="AZ620" s="73">
        <f t="shared" si="135"/>
        <v>3250000</v>
      </c>
    </row>
    <row r="621" spans="1:53" ht="20.100000000000001" hidden="1" customHeight="1">
      <c r="A621" s="68"/>
      <c r="B621" s="69"/>
      <c r="C621" s="240" t="s">
        <v>832</v>
      </c>
      <c r="D621" s="240"/>
      <c r="E621" s="241"/>
      <c r="F621" s="70"/>
      <c r="G621" s="71"/>
      <c r="H621" s="71"/>
      <c r="I621" s="71"/>
      <c r="J621" s="240" t="s">
        <v>352</v>
      </c>
      <c r="K621" s="241"/>
      <c r="L621" s="49">
        <v>12800000</v>
      </c>
      <c r="M621" s="49">
        <v>0</v>
      </c>
      <c r="N621" s="49"/>
      <c r="O621" s="49"/>
      <c r="P621" s="49"/>
      <c r="Q621" s="49">
        <f>SUM(N621:P621)</f>
        <v>0</v>
      </c>
      <c r="R621" s="72"/>
      <c r="S621" s="49">
        <f>M621-Q621</f>
        <v>0</v>
      </c>
      <c r="T621" s="49">
        <v>0</v>
      </c>
      <c r="U621" s="49">
        <f>T621+M621</f>
        <v>0</v>
      </c>
      <c r="V621" s="49">
        <f>T621+S621</f>
        <v>0</v>
      </c>
      <c r="W621" s="49"/>
      <c r="X621" s="49"/>
      <c r="Y621" s="49"/>
      <c r="Z621" s="49"/>
      <c r="AA621" s="49">
        <v>12800000</v>
      </c>
      <c r="AB621" s="49">
        <v>12800000</v>
      </c>
      <c r="AC621" s="49">
        <f t="shared" si="131"/>
        <v>0</v>
      </c>
      <c r="AD621" s="49">
        <f>AA621+T621+M621</f>
        <v>12800000</v>
      </c>
      <c r="AE621" s="49"/>
      <c r="AF621" s="49"/>
      <c r="AG621" s="49"/>
      <c r="AH621" s="49"/>
      <c r="AI621" s="49"/>
      <c r="AJ621" s="49">
        <v>12800000</v>
      </c>
      <c r="AK621" s="49">
        <f>Z621+Y621+X621+W621+N621+AG621+AE621+AJ621+AI621+AH621</f>
        <v>12800000</v>
      </c>
      <c r="AL621" s="49">
        <f>AK621/AD621*100</f>
        <v>100</v>
      </c>
      <c r="AM621" s="49"/>
      <c r="AN621" s="49"/>
      <c r="AO621" s="49"/>
      <c r="AP621" s="49"/>
      <c r="AQ621" s="49">
        <f>AK621+AM621+AN621+AO621+AP621</f>
        <v>12800000</v>
      </c>
      <c r="AR621" s="49">
        <f>AQ621/AB621*100</f>
        <v>100</v>
      </c>
      <c r="AS621" s="49">
        <f t="shared" si="136"/>
        <v>0</v>
      </c>
      <c r="AT621" s="49">
        <v>3091500</v>
      </c>
      <c r="AU621" s="49">
        <f>AT621+U621</f>
        <v>3091500</v>
      </c>
      <c r="AV621" s="49">
        <f>AK621</f>
        <v>12800000</v>
      </c>
      <c r="AW621" s="72">
        <f>AV621/AU621*100</f>
        <v>414.03849264111273</v>
      </c>
      <c r="AX621" s="49">
        <f>AU621-AV621</f>
        <v>-9708500</v>
      </c>
      <c r="AY621" s="49">
        <f t="shared" si="134"/>
        <v>0</v>
      </c>
      <c r="AZ621" s="73">
        <f t="shared" si="135"/>
        <v>12800000</v>
      </c>
    </row>
    <row r="622" spans="1:53" ht="20.100000000000001" hidden="1" customHeight="1">
      <c r="A622" s="68"/>
      <c r="B622" s="69"/>
      <c r="C622" s="240" t="s">
        <v>833</v>
      </c>
      <c r="D622" s="240"/>
      <c r="E622" s="241"/>
      <c r="F622" s="70"/>
      <c r="G622" s="71"/>
      <c r="H622" s="71"/>
      <c r="I622" s="240" t="s">
        <v>151</v>
      </c>
      <c r="J622" s="240"/>
      <c r="K622" s="241"/>
      <c r="L622" s="49"/>
      <c r="M622" s="49"/>
      <c r="N622" s="49"/>
      <c r="O622" s="49"/>
      <c r="P622" s="49"/>
      <c r="Q622" s="49"/>
      <c r="R622" s="72"/>
      <c r="S622" s="49"/>
      <c r="T622" s="49"/>
      <c r="U622" s="49"/>
      <c r="V622" s="49"/>
      <c r="W622" s="49"/>
      <c r="X622" s="49"/>
      <c r="Y622" s="49"/>
      <c r="Z622" s="49"/>
      <c r="AA622" s="49"/>
      <c r="AB622" s="49"/>
      <c r="AC622" s="49">
        <f t="shared" si="131"/>
        <v>0</v>
      </c>
      <c r="AD622" s="49"/>
      <c r="AE622" s="49"/>
      <c r="AF622" s="49"/>
      <c r="AG622" s="49"/>
      <c r="AH622" s="49"/>
      <c r="AI622" s="49"/>
      <c r="AJ622" s="49"/>
      <c r="AK622" s="49"/>
      <c r="AL622" s="49"/>
      <c r="AM622" s="49"/>
      <c r="AN622" s="49"/>
      <c r="AO622" s="49"/>
      <c r="AP622" s="49"/>
      <c r="AQ622" s="49"/>
      <c r="AR622" s="49"/>
      <c r="AS622" s="49"/>
      <c r="AT622" s="49"/>
      <c r="AU622" s="49"/>
      <c r="AV622" s="49"/>
      <c r="AW622" s="49"/>
      <c r="AX622" s="49"/>
      <c r="AY622" s="49"/>
      <c r="AZ622" s="73">
        <f t="shared" si="135"/>
        <v>0</v>
      </c>
    </row>
    <row r="623" spans="1:53" ht="20.100000000000001" hidden="1" customHeight="1">
      <c r="A623" s="68"/>
      <c r="B623" s="69"/>
      <c r="C623" s="240" t="s">
        <v>834</v>
      </c>
      <c r="D623" s="240"/>
      <c r="E623" s="241"/>
      <c r="F623" s="70"/>
      <c r="G623" s="71"/>
      <c r="H623" s="71"/>
      <c r="I623" s="71"/>
      <c r="J623" s="240" t="s">
        <v>155</v>
      </c>
      <c r="K623" s="241"/>
      <c r="L623" s="49">
        <v>700000</v>
      </c>
      <c r="M623" s="49">
        <v>0</v>
      </c>
      <c r="N623" s="49"/>
      <c r="O623" s="49"/>
      <c r="P623" s="49"/>
      <c r="Q623" s="49">
        <f>SUM(N623:P623)</f>
        <v>0</v>
      </c>
      <c r="R623" s="72"/>
      <c r="S623" s="49">
        <f>M623-Q623</f>
        <v>0</v>
      </c>
      <c r="T623" s="49">
        <v>0</v>
      </c>
      <c r="U623" s="49">
        <f>T623+M623</f>
        <v>0</v>
      </c>
      <c r="V623" s="49">
        <f>T623+S623</f>
        <v>0</v>
      </c>
      <c r="W623" s="49"/>
      <c r="X623" s="49"/>
      <c r="Y623" s="49"/>
      <c r="Z623" s="49"/>
      <c r="AA623" s="49">
        <v>700000</v>
      </c>
      <c r="AB623" s="49">
        <v>700000</v>
      </c>
      <c r="AC623" s="49">
        <f t="shared" si="131"/>
        <v>0</v>
      </c>
      <c r="AD623" s="49">
        <f>AA623+T623+M623</f>
        <v>700000</v>
      </c>
      <c r="AE623" s="49"/>
      <c r="AF623" s="49"/>
      <c r="AG623" s="49"/>
      <c r="AH623" s="49"/>
      <c r="AI623" s="49"/>
      <c r="AJ623" s="49"/>
      <c r="AK623" s="49">
        <f>Z623+Y623+X623+W623+N623+AG623+AE623+AJ623+AI623+AH623</f>
        <v>0</v>
      </c>
      <c r="AL623" s="49">
        <f>AK623/AD623*100</f>
        <v>0</v>
      </c>
      <c r="AM623" s="49"/>
      <c r="AN623" s="42">
        <v>700000</v>
      </c>
      <c r="AO623" s="49"/>
      <c r="AP623" s="49"/>
      <c r="AQ623" s="49">
        <f>AK623+AM623+AN623+AO623+AP623</f>
        <v>700000</v>
      </c>
      <c r="AR623" s="49">
        <f>AQ623/AB623*100</f>
        <v>100</v>
      </c>
      <c r="AS623" s="49">
        <f t="shared" si="136"/>
        <v>0</v>
      </c>
      <c r="AT623" s="49">
        <v>3091500</v>
      </c>
      <c r="AU623" s="49">
        <f>AT623+U623</f>
        <v>3091500</v>
      </c>
      <c r="AV623" s="49">
        <f>AK623</f>
        <v>0</v>
      </c>
      <c r="AW623" s="72">
        <f>AV623/AU623*100</f>
        <v>0</v>
      </c>
      <c r="AX623" s="49">
        <f>AU623-AV623</f>
        <v>3091500</v>
      </c>
      <c r="AY623" s="49">
        <f t="shared" si="134"/>
        <v>0</v>
      </c>
      <c r="AZ623" s="73">
        <f t="shared" si="135"/>
        <v>700000</v>
      </c>
    </row>
    <row r="624" spans="1:53" ht="20.100000000000001" hidden="1" customHeight="1">
      <c r="A624" s="68"/>
      <c r="B624" s="69"/>
      <c r="C624" s="240" t="s">
        <v>835</v>
      </c>
      <c r="D624" s="240"/>
      <c r="E624" s="241"/>
      <c r="F624" s="70"/>
      <c r="G624" s="71"/>
      <c r="H624" s="71"/>
      <c r="I624" s="240" t="s">
        <v>712</v>
      </c>
      <c r="J624" s="240"/>
      <c r="K624" s="241"/>
      <c r="L624" s="49"/>
      <c r="M624" s="49"/>
      <c r="N624" s="49"/>
      <c r="O624" s="49"/>
      <c r="P624" s="49"/>
      <c r="Q624" s="49"/>
      <c r="R624" s="72"/>
      <c r="S624" s="49"/>
      <c r="T624" s="49"/>
      <c r="U624" s="49"/>
      <c r="V624" s="49"/>
      <c r="W624" s="49"/>
      <c r="X624" s="49"/>
      <c r="Y624" s="49"/>
      <c r="Z624" s="49"/>
      <c r="AA624" s="49"/>
      <c r="AB624" s="49"/>
      <c r="AC624" s="49">
        <f t="shared" si="131"/>
        <v>0</v>
      </c>
      <c r="AD624" s="49"/>
      <c r="AE624" s="49"/>
      <c r="AF624" s="49"/>
      <c r="AG624" s="49"/>
      <c r="AH624" s="49"/>
      <c r="AI624" s="49"/>
      <c r="AJ624" s="49"/>
      <c r="AK624" s="49"/>
      <c r="AL624" s="49"/>
      <c r="AM624" s="49"/>
      <c r="AN624" s="49"/>
      <c r="AO624" s="49"/>
      <c r="AP624" s="49"/>
      <c r="AQ624" s="49"/>
      <c r="AR624" s="49"/>
      <c r="AS624" s="49"/>
      <c r="AT624" s="49"/>
      <c r="AU624" s="49"/>
      <c r="AV624" s="49"/>
      <c r="AW624" s="49"/>
      <c r="AX624" s="49"/>
      <c r="AY624" s="49"/>
      <c r="AZ624" s="73">
        <f t="shared" si="135"/>
        <v>0</v>
      </c>
    </row>
    <row r="625" spans="1:54" ht="20.100000000000001" hidden="1" customHeight="1">
      <c r="A625" s="68"/>
      <c r="B625" s="69"/>
      <c r="C625" s="240" t="s">
        <v>836</v>
      </c>
      <c r="D625" s="240"/>
      <c r="E625" s="241"/>
      <c r="F625" s="70"/>
      <c r="G625" s="71"/>
      <c r="H625" s="71"/>
      <c r="I625" s="71"/>
      <c r="J625" s="240" t="s">
        <v>714</v>
      </c>
      <c r="K625" s="241"/>
      <c r="L625" s="49">
        <v>27000000</v>
      </c>
      <c r="M625" s="49">
        <v>0</v>
      </c>
      <c r="N625" s="49"/>
      <c r="O625" s="49"/>
      <c r="P625" s="49"/>
      <c r="Q625" s="49">
        <f>SUM(N625:P625)</f>
        <v>0</v>
      </c>
      <c r="R625" s="72"/>
      <c r="S625" s="49">
        <f>M625-Q625</f>
        <v>0</v>
      </c>
      <c r="T625" s="49">
        <v>0</v>
      </c>
      <c r="U625" s="49">
        <f>T625+M625</f>
        <v>0</v>
      </c>
      <c r="V625" s="49">
        <f>T625+S625</f>
        <v>0</v>
      </c>
      <c r="W625" s="49"/>
      <c r="X625" s="49"/>
      <c r="Y625" s="49"/>
      <c r="Z625" s="49"/>
      <c r="AA625" s="49">
        <v>0</v>
      </c>
      <c r="AB625" s="49">
        <v>27000000</v>
      </c>
      <c r="AC625" s="49">
        <f t="shared" si="131"/>
        <v>0</v>
      </c>
      <c r="AD625" s="49">
        <f>AA625+T625+M625</f>
        <v>0</v>
      </c>
      <c r="AE625" s="49"/>
      <c r="AF625" s="49"/>
      <c r="AG625" s="49"/>
      <c r="AH625" s="49"/>
      <c r="AI625" s="49"/>
      <c r="AJ625" s="49"/>
      <c r="AK625" s="49">
        <f>Z625+Y625+X625+W625+N625+AG625+AE625+AJ625+AI625+AH625</f>
        <v>0</v>
      </c>
      <c r="AL625" s="49" t="e">
        <f>AK625/AD625*100</f>
        <v>#DIV/0!</v>
      </c>
      <c r="AM625" s="42">
        <v>21210000</v>
      </c>
      <c r="AN625" s="49"/>
      <c r="AO625" s="49"/>
      <c r="AP625" s="49"/>
      <c r="AQ625" s="49">
        <f>AK625+AM625+AN625+AO625+AP625</f>
        <v>21210000</v>
      </c>
      <c r="AR625" s="49">
        <f>AQ625/AB625*100</f>
        <v>78.555555555555557</v>
      </c>
      <c r="AS625" s="49">
        <f t="shared" si="136"/>
        <v>5790000</v>
      </c>
      <c r="AT625" s="49">
        <v>3091500</v>
      </c>
      <c r="AU625" s="49">
        <f>AT625+U625</f>
        <v>3091500</v>
      </c>
      <c r="AV625" s="49">
        <f>AK625</f>
        <v>0</v>
      </c>
      <c r="AW625" s="72">
        <f>AV625/AU625*100</f>
        <v>0</v>
      </c>
      <c r="AX625" s="49">
        <f>AU625-AV625</f>
        <v>3091500</v>
      </c>
      <c r="AY625" s="49">
        <f t="shared" si="134"/>
        <v>21.444444444444443</v>
      </c>
      <c r="AZ625" s="73">
        <f t="shared" si="135"/>
        <v>21210000</v>
      </c>
      <c r="BA625" s="29">
        <f>AS625</f>
        <v>5790000</v>
      </c>
    </row>
    <row r="626" spans="1:54" ht="20.100000000000001" hidden="1" customHeight="1">
      <c r="A626" s="68"/>
      <c r="B626" s="69"/>
      <c r="C626" s="240" t="s">
        <v>837</v>
      </c>
      <c r="D626" s="240"/>
      <c r="E626" s="241"/>
      <c r="F626" s="70"/>
      <c r="G626" s="71"/>
      <c r="H626" s="71"/>
      <c r="I626" s="240" t="s">
        <v>328</v>
      </c>
      <c r="J626" s="240"/>
      <c r="K626" s="241"/>
      <c r="L626" s="49"/>
      <c r="M626" s="49"/>
      <c r="N626" s="49"/>
      <c r="O626" s="49"/>
      <c r="P626" s="49"/>
      <c r="Q626" s="49"/>
      <c r="R626" s="72"/>
      <c r="S626" s="49"/>
      <c r="T626" s="49"/>
      <c r="U626" s="49"/>
      <c r="V626" s="49"/>
      <c r="W626" s="49"/>
      <c r="X626" s="49"/>
      <c r="Y626" s="49"/>
      <c r="Z626" s="49"/>
      <c r="AA626" s="49"/>
      <c r="AB626" s="49"/>
      <c r="AC626" s="49">
        <f t="shared" si="131"/>
        <v>0</v>
      </c>
      <c r="AD626" s="49"/>
      <c r="AE626" s="49"/>
      <c r="AF626" s="49"/>
      <c r="AG626" s="49"/>
      <c r="AH626" s="49"/>
      <c r="AI626" s="49"/>
      <c r="AJ626" s="49"/>
      <c r="AK626" s="49"/>
      <c r="AL626" s="49"/>
      <c r="AM626" s="49"/>
      <c r="AN626" s="49"/>
      <c r="AO626" s="49"/>
      <c r="AP626" s="49"/>
      <c r="AQ626" s="49"/>
      <c r="AR626" s="49"/>
      <c r="AS626" s="49"/>
      <c r="AT626" s="49"/>
      <c r="AU626" s="49"/>
      <c r="AV626" s="49"/>
      <c r="AW626" s="49"/>
      <c r="AX626" s="49"/>
      <c r="AY626" s="49"/>
      <c r="AZ626" s="73">
        <f t="shared" si="135"/>
        <v>0</v>
      </c>
    </row>
    <row r="627" spans="1:54" ht="20.100000000000001" hidden="1" customHeight="1">
      <c r="A627" s="68"/>
      <c r="B627" s="69"/>
      <c r="C627" s="240" t="s">
        <v>838</v>
      </c>
      <c r="D627" s="240"/>
      <c r="E627" s="241"/>
      <c r="F627" s="70"/>
      <c r="G627" s="71"/>
      <c r="H627" s="71"/>
      <c r="I627" s="71"/>
      <c r="J627" s="240" t="s">
        <v>330</v>
      </c>
      <c r="K627" s="241"/>
      <c r="L627" s="49">
        <v>7000000</v>
      </c>
      <c r="M627" s="49">
        <v>0</v>
      </c>
      <c r="N627" s="49"/>
      <c r="O627" s="49"/>
      <c r="P627" s="49"/>
      <c r="Q627" s="49">
        <f>SUM(N627:P627)</f>
        <v>0</v>
      </c>
      <c r="R627" s="72"/>
      <c r="S627" s="49">
        <f>M627-Q627</f>
        <v>0</v>
      </c>
      <c r="T627" s="49">
        <v>0</v>
      </c>
      <c r="U627" s="49">
        <f>T627+M627</f>
        <v>0</v>
      </c>
      <c r="V627" s="49">
        <f>T627+S627</f>
        <v>0</v>
      </c>
      <c r="W627" s="49"/>
      <c r="X627" s="49"/>
      <c r="Y627" s="49"/>
      <c r="Z627" s="49"/>
      <c r="AA627" s="49">
        <v>0</v>
      </c>
      <c r="AB627" s="49">
        <v>7000000</v>
      </c>
      <c r="AC627" s="49">
        <f t="shared" si="131"/>
        <v>0</v>
      </c>
      <c r="AD627" s="49">
        <f>AA627+T627+M627</f>
        <v>0</v>
      </c>
      <c r="AE627" s="49"/>
      <c r="AF627" s="49"/>
      <c r="AG627" s="49"/>
      <c r="AH627" s="49"/>
      <c r="AI627" s="49"/>
      <c r="AJ627" s="49"/>
      <c r="AK627" s="49">
        <f>Z627+Y627+X627+W627+N627+AG627+AE627+AJ627+AI627+AH627</f>
        <v>0</v>
      </c>
      <c r="AL627" s="49" t="e">
        <f>AK627/AD627*100</f>
        <v>#DIV/0!</v>
      </c>
      <c r="AM627" s="49"/>
      <c r="AN627" s="42">
        <v>7000000</v>
      </c>
      <c r="AO627" s="49"/>
      <c r="AP627" s="49"/>
      <c r="AQ627" s="49">
        <f>AK627+AM627+AN627+AO627+AP627</f>
        <v>7000000</v>
      </c>
      <c r="AR627" s="49">
        <f>AQ627/AB627*100</f>
        <v>100</v>
      </c>
      <c r="AS627" s="49">
        <f t="shared" si="136"/>
        <v>0</v>
      </c>
      <c r="AT627" s="49">
        <v>3091500</v>
      </c>
      <c r="AU627" s="49">
        <f>AT627+U627</f>
        <v>3091500</v>
      </c>
      <c r="AV627" s="49">
        <f>AK627</f>
        <v>0</v>
      </c>
      <c r="AW627" s="72">
        <f>AV627/AU627*100</f>
        <v>0</v>
      </c>
      <c r="AX627" s="49">
        <f>AU627-AV627</f>
        <v>3091500</v>
      </c>
      <c r="AY627" s="49">
        <f t="shared" si="134"/>
        <v>0</v>
      </c>
      <c r="AZ627" s="73">
        <f t="shared" si="135"/>
        <v>7000000</v>
      </c>
    </row>
    <row r="628" spans="1:54" ht="20.100000000000001" hidden="1" customHeight="1">
      <c r="A628" s="68"/>
      <c r="B628" s="69"/>
      <c r="C628" s="240" t="s">
        <v>839</v>
      </c>
      <c r="D628" s="240"/>
      <c r="E628" s="241"/>
      <c r="F628" s="70"/>
      <c r="G628" s="71"/>
      <c r="H628" s="71"/>
      <c r="I628" s="240" t="s">
        <v>193</v>
      </c>
      <c r="J628" s="240"/>
      <c r="K628" s="241"/>
      <c r="L628" s="49"/>
      <c r="M628" s="49"/>
      <c r="N628" s="49"/>
      <c r="O628" s="49"/>
      <c r="P628" s="49"/>
      <c r="Q628" s="49"/>
      <c r="R628" s="72"/>
      <c r="S628" s="49"/>
      <c r="T628" s="49"/>
      <c r="U628" s="49"/>
      <c r="V628" s="49"/>
      <c r="W628" s="49"/>
      <c r="X628" s="49"/>
      <c r="Y628" s="49"/>
      <c r="Z628" s="49"/>
      <c r="AA628" s="49"/>
      <c r="AB628" s="49"/>
      <c r="AC628" s="49">
        <f t="shared" ref="AC628:AC677" si="137">AB628-L628</f>
        <v>0</v>
      </c>
      <c r="AD628" s="49"/>
      <c r="AE628" s="49"/>
      <c r="AF628" s="49"/>
      <c r="AG628" s="49"/>
      <c r="AH628" s="49"/>
      <c r="AI628" s="49"/>
      <c r="AJ628" s="49"/>
      <c r="AK628" s="49"/>
      <c r="AL628" s="49"/>
      <c r="AM628" s="49"/>
      <c r="AN628" s="49"/>
      <c r="AO628" s="49"/>
      <c r="AP628" s="49"/>
      <c r="AQ628" s="49"/>
      <c r="AR628" s="49"/>
      <c r="AS628" s="49"/>
      <c r="AT628" s="49"/>
      <c r="AU628" s="49"/>
      <c r="AV628" s="49"/>
      <c r="AW628" s="49"/>
      <c r="AX628" s="49"/>
      <c r="AY628" s="49"/>
      <c r="AZ628" s="73">
        <f t="shared" si="135"/>
        <v>0</v>
      </c>
    </row>
    <row r="629" spans="1:54" ht="20.100000000000001" hidden="1" customHeight="1">
      <c r="A629" s="68"/>
      <c r="B629" s="69"/>
      <c r="C629" s="240" t="s">
        <v>840</v>
      </c>
      <c r="D629" s="240"/>
      <c r="E629" s="241"/>
      <c r="F629" s="70"/>
      <c r="G629" s="71"/>
      <c r="H629" s="71"/>
      <c r="I629" s="71"/>
      <c r="J629" s="240" t="s">
        <v>195</v>
      </c>
      <c r="K629" s="241"/>
      <c r="L629" s="49">
        <v>16800000</v>
      </c>
      <c r="M629" s="49">
        <v>0</v>
      </c>
      <c r="N629" s="49"/>
      <c r="O629" s="49"/>
      <c r="P629" s="49"/>
      <c r="Q629" s="49">
        <f>SUM(N629:P629)</f>
        <v>0</v>
      </c>
      <c r="R629" s="72"/>
      <c r="S629" s="49">
        <f>M629-Q629</f>
        <v>0</v>
      </c>
      <c r="T629" s="49">
        <v>560000</v>
      </c>
      <c r="U629" s="49">
        <f>T629+M629</f>
        <v>560000</v>
      </c>
      <c r="V629" s="49">
        <f>T629+S629</f>
        <v>560000</v>
      </c>
      <c r="W629" s="49"/>
      <c r="X629" s="49"/>
      <c r="Y629" s="49"/>
      <c r="Z629" s="49"/>
      <c r="AA629" s="49">
        <v>15680000</v>
      </c>
      <c r="AB629" s="49">
        <v>16800000</v>
      </c>
      <c r="AC629" s="49">
        <f t="shared" si="137"/>
        <v>0</v>
      </c>
      <c r="AD629" s="49">
        <f>AA629+T629+M629</f>
        <v>16240000</v>
      </c>
      <c r="AE629" s="49"/>
      <c r="AF629" s="49"/>
      <c r="AG629" s="49">
        <v>560000</v>
      </c>
      <c r="AH629" s="49"/>
      <c r="AI629" s="49"/>
      <c r="AJ629" s="49">
        <v>14700000</v>
      </c>
      <c r="AK629" s="49">
        <f>Z629+Y629+X629+W629+N629+AG629+AE629+AJ629+AI629+AH629</f>
        <v>15260000</v>
      </c>
      <c r="AL629" s="49">
        <f>AK629/AD629*100</f>
        <v>93.965517241379317</v>
      </c>
      <c r="AM629" s="49"/>
      <c r="AN629" s="42">
        <v>1540000</v>
      </c>
      <c r="AO629" s="49"/>
      <c r="AP629" s="49"/>
      <c r="AQ629" s="49">
        <f>AK629+AM629+AN629+AO629+AP629</f>
        <v>16800000</v>
      </c>
      <c r="AR629" s="49">
        <f>AQ629/AB629*100</f>
        <v>100</v>
      </c>
      <c r="AS629" s="49">
        <f t="shared" si="136"/>
        <v>0</v>
      </c>
      <c r="AT629" s="49">
        <v>3091500</v>
      </c>
      <c r="AU629" s="49">
        <f>AT629+U629</f>
        <v>3651500</v>
      </c>
      <c r="AV629" s="49">
        <f>AK629</f>
        <v>15260000</v>
      </c>
      <c r="AW629" s="72">
        <f>AV629/AU629*100</f>
        <v>417.91044776119401</v>
      </c>
      <c r="AX629" s="49">
        <f>AU629-AV629</f>
        <v>-11608500</v>
      </c>
      <c r="AY629" s="49">
        <f t="shared" si="134"/>
        <v>0</v>
      </c>
      <c r="AZ629" s="73">
        <f t="shared" si="135"/>
        <v>16800000</v>
      </c>
    </row>
    <row r="630" spans="1:54" ht="20.100000000000001" hidden="1" customHeight="1">
      <c r="A630" s="68"/>
      <c r="B630" s="69"/>
      <c r="C630" s="240" t="s">
        <v>841</v>
      </c>
      <c r="D630" s="240"/>
      <c r="E630" s="241"/>
      <c r="F630" s="70"/>
      <c r="G630" s="71"/>
      <c r="H630" s="71"/>
      <c r="I630" s="240" t="s">
        <v>157</v>
      </c>
      <c r="J630" s="240"/>
      <c r="K630" s="241"/>
      <c r="L630" s="49"/>
      <c r="M630" s="49"/>
      <c r="N630" s="49"/>
      <c r="O630" s="49"/>
      <c r="P630" s="49"/>
      <c r="Q630" s="49"/>
      <c r="R630" s="72"/>
      <c r="S630" s="49"/>
      <c r="T630" s="49"/>
      <c r="U630" s="49"/>
      <c r="V630" s="49"/>
      <c r="W630" s="49"/>
      <c r="X630" s="49"/>
      <c r="Y630" s="49"/>
      <c r="Z630" s="49"/>
      <c r="AA630" s="49"/>
      <c r="AB630" s="49"/>
      <c r="AC630" s="49">
        <f t="shared" si="137"/>
        <v>0</v>
      </c>
      <c r="AD630" s="49"/>
      <c r="AE630" s="49"/>
      <c r="AF630" s="49"/>
      <c r="AG630" s="49"/>
      <c r="AH630" s="49"/>
      <c r="AI630" s="49"/>
      <c r="AJ630" s="49"/>
      <c r="AK630" s="49"/>
      <c r="AL630" s="49"/>
      <c r="AM630" s="49"/>
      <c r="AN630" s="49"/>
      <c r="AO630" s="49"/>
      <c r="AP630" s="49"/>
      <c r="AQ630" s="49"/>
      <c r="AR630" s="49"/>
      <c r="AS630" s="49"/>
      <c r="AT630" s="49"/>
      <c r="AU630" s="49"/>
      <c r="AV630" s="49"/>
      <c r="AW630" s="49"/>
      <c r="AX630" s="49"/>
      <c r="AY630" s="49"/>
      <c r="AZ630" s="73">
        <f t="shared" si="135"/>
        <v>0</v>
      </c>
    </row>
    <row r="631" spans="1:54" ht="20.100000000000001" hidden="1" customHeight="1">
      <c r="A631" s="68"/>
      <c r="B631" s="69"/>
      <c r="C631" s="240" t="s">
        <v>842</v>
      </c>
      <c r="D631" s="240"/>
      <c r="E631" s="241"/>
      <c r="F631" s="70"/>
      <c r="G631" s="71"/>
      <c r="H631" s="71"/>
      <c r="I631" s="71"/>
      <c r="J631" s="240" t="s">
        <v>159</v>
      </c>
      <c r="K631" s="241"/>
      <c r="L631" s="49">
        <v>15400000</v>
      </c>
      <c r="M631" s="49">
        <v>0</v>
      </c>
      <c r="N631" s="49"/>
      <c r="O631" s="49"/>
      <c r="P631" s="49"/>
      <c r="Q631" s="49">
        <f>SUM(N631:P631)</f>
        <v>0</v>
      </c>
      <c r="R631" s="72"/>
      <c r="S631" s="49">
        <f>M631-Q631</f>
        <v>0</v>
      </c>
      <c r="T631" s="49">
        <v>2400000</v>
      </c>
      <c r="U631" s="49">
        <f>T631+M631</f>
        <v>2400000</v>
      </c>
      <c r="V631" s="49">
        <f>T631+S631</f>
        <v>2400000</v>
      </c>
      <c r="W631" s="49"/>
      <c r="X631" s="49"/>
      <c r="Y631" s="49"/>
      <c r="Z631" s="49"/>
      <c r="AA631" s="49">
        <v>13000000</v>
      </c>
      <c r="AB631" s="49">
        <v>15400000</v>
      </c>
      <c r="AC631" s="49">
        <f t="shared" si="137"/>
        <v>0</v>
      </c>
      <c r="AD631" s="49">
        <f>AA631+T631+M631</f>
        <v>15400000</v>
      </c>
      <c r="AE631" s="49"/>
      <c r="AF631" s="49"/>
      <c r="AG631" s="49"/>
      <c r="AH631" s="49"/>
      <c r="AI631" s="49"/>
      <c r="AJ631" s="49"/>
      <c r="AK631" s="49">
        <f>Z631+Y631+X631+W631+N631+AG631+AE631+AJ631+AI631+AH631</f>
        <v>0</v>
      </c>
      <c r="AL631" s="49">
        <f>AK631/AD631*100</f>
        <v>0</v>
      </c>
      <c r="AM631" s="49"/>
      <c r="AN631" s="42">
        <v>13370000</v>
      </c>
      <c r="AO631" s="49"/>
      <c r="AP631" s="49"/>
      <c r="AQ631" s="49">
        <f>AK631+AM631+AN631+AO631+AP631</f>
        <v>13370000</v>
      </c>
      <c r="AR631" s="49">
        <f>AQ631/AB631*100</f>
        <v>86.818181818181813</v>
      </c>
      <c r="AS631" s="49">
        <f t="shared" si="136"/>
        <v>2030000</v>
      </c>
      <c r="AT631" s="49">
        <v>3091500</v>
      </c>
      <c r="AU631" s="49">
        <f>AT631+U631</f>
        <v>5491500</v>
      </c>
      <c r="AV631" s="49">
        <f>AK631</f>
        <v>0</v>
      </c>
      <c r="AW631" s="72">
        <f>AV631/AU631*100</f>
        <v>0</v>
      </c>
      <c r="AX631" s="49">
        <f>AU631-AV631</f>
        <v>5491500</v>
      </c>
      <c r="AY631" s="49">
        <f t="shared" si="134"/>
        <v>13.18181818181818</v>
      </c>
      <c r="AZ631" s="73">
        <f t="shared" si="135"/>
        <v>13370000</v>
      </c>
    </row>
    <row r="632" spans="1:54" ht="20.100000000000001" hidden="1" customHeight="1">
      <c r="A632" s="68"/>
      <c r="B632" s="69"/>
      <c r="C632" s="240" t="s">
        <v>843</v>
      </c>
      <c r="D632" s="240"/>
      <c r="E632" s="241"/>
      <c r="F632" s="70"/>
      <c r="G632" s="71"/>
      <c r="H632" s="71"/>
      <c r="I632" s="71"/>
      <c r="J632" s="240" t="s">
        <v>207</v>
      </c>
      <c r="K632" s="241"/>
      <c r="L632" s="49">
        <v>44960000</v>
      </c>
      <c r="M632" s="49">
        <v>0</v>
      </c>
      <c r="N632" s="49"/>
      <c r="O632" s="49"/>
      <c r="P632" s="49"/>
      <c r="Q632" s="49">
        <f>SUM(N632:P632)</f>
        <v>0</v>
      </c>
      <c r="R632" s="72"/>
      <c r="S632" s="49">
        <f>M632-Q632</f>
        <v>0</v>
      </c>
      <c r="T632" s="49">
        <v>0</v>
      </c>
      <c r="U632" s="49">
        <f>T632+M632</f>
        <v>0</v>
      </c>
      <c r="V632" s="49">
        <f>T632+S632</f>
        <v>0</v>
      </c>
      <c r="W632" s="49"/>
      <c r="X632" s="49"/>
      <c r="Y632" s="49"/>
      <c r="Z632" s="49"/>
      <c r="AA632" s="49">
        <v>0</v>
      </c>
      <c r="AB632" s="49">
        <v>44960000</v>
      </c>
      <c r="AC632" s="49">
        <f t="shared" si="137"/>
        <v>0</v>
      </c>
      <c r="AD632" s="49">
        <f>AA632+T632+M632</f>
        <v>0</v>
      </c>
      <c r="AE632" s="49"/>
      <c r="AF632" s="49"/>
      <c r="AG632" s="49"/>
      <c r="AH632" s="49"/>
      <c r="AI632" s="49"/>
      <c r="AJ632" s="49"/>
      <c r="AK632" s="49">
        <f>Z632+Y632+X632+W632+N632+AG632+AE632+AJ632+AI632+AH632</f>
        <v>0</v>
      </c>
      <c r="AL632" s="49" t="e">
        <f>AK632/AD632*100</f>
        <v>#DIV/0!</v>
      </c>
      <c r="AM632" s="48"/>
      <c r="AN632" s="49"/>
      <c r="AO632" s="49"/>
      <c r="AP632" s="49"/>
      <c r="AQ632" s="49">
        <f>AK632+AM632+AN632+AO632+AP632</f>
        <v>0</v>
      </c>
      <c r="AR632" s="49">
        <f>AQ632/AB632*100</f>
        <v>0</v>
      </c>
      <c r="AS632" s="49">
        <f t="shared" si="136"/>
        <v>44960000</v>
      </c>
      <c r="AT632" s="49">
        <v>3091500</v>
      </c>
      <c r="AU632" s="49">
        <f>AT632+U632</f>
        <v>3091500</v>
      </c>
      <c r="AV632" s="49">
        <f>AK632</f>
        <v>0</v>
      </c>
      <c r="AW632" s="72">
        <f>AV632/AU632*100</f>
        <v>0</v>
      </c>
      <c r="AX632" s="49">
        <f>AU632-AV632</f>
        <v>3091500</v>
      </c>
      <c r="AY632" s="49">
        <f t="shared" si="134"/>
        <v>100</v>
      </c>
      <c r="AZ632" s="73">
        <f t="shared" si="135"/>
        <v>0</v>
      </c>
      <c r="BB632" s="29">
        <f>AS632</f>
        <v>44960000</v>
      </c>
    </row>
    <row r="633" spans="1:54" ht="20.100000000000001" hidden="1" customHeight="1">
      <c r="A633" s="68"/>
      <c r="B633" s="69"/>
      <c r="C633" s="240" t="s">
        <v>844</v>
      </c>
      <c r="D633" s="240"/>
      <c r="E633" s="241"/>
      <c r="F633" s="70"/>
      <c r="G633" s="71"/>
      <c r="H633" s="71"/>
      <c r="I633" s="240" t="s">
        <v>402</v>
      </c>
      <c r="J633" s="240"/>
      <c r="K633" s="241"/>
      <c r="L633" s="49"/>
      <c r="M633" s="49"/>
      <c r="N633" s="49"/>
      <c r="O633" s="49"/>
      <c r="P633" s="49"/>
      <c r="Q633" s="49"/>
      <c r="R633" s="72"/>
      <c r="S633" s="49"/>
      <c r="T633" s="49"/>
      <c r="U633" s="49"/>
      <c r="V633" s="49"/>
      <c r="W633" s="49"/>
      <c r="X633" s="49"/>
      <c r="Y633" s="49"/>
      <c r="Z633" s="49"/>
      <c r="AA633" s="49"/>
      <c r="AB633" s="49"/>
      <c r="AC633" s="49">
        <f t="shared" si="137"/>
        <v>0</v>
      </c>
      <c r="AD633" s="49"/>
      <c r="AE633" s="49"/>
      <c r="AF633" s="49"/>
      <c r="AG633" s="49"/>
      <c r="AH633" s="49"/>
      <c r="AI633" s="49"/>
      <c r="AJ633" s="49"/>
      <c r="AK633" s="49"/>
      <c r="AL633" s="49"/>
      <c r="AM633" s="49"/>
      <c r="AN633" s="49"/>
      <c r="AO633" s="49"/>
      <c r="AP633" s="49"/>
      <c r="AQ633" s="49"/>
      <c r="AR633" s="49"/>
      <c r="AS633" s="49"/>
      <c r="AT633" s="49"/>
      <c r="AU633" s="49"/>
      <c r="AV633" s="49"/>
      <c r="AW633" s="49"/>
      <c r="AX633" s="49"/>
      <c r="AY633" s="49"/>
      <c r="AZ633" s="73">
        <f t="shared" si="135"/>
        <v>0</v>
      </c>
    </row>
    <row r="634" spans="1:54" ht="20.100000000000001" hidden="1" customHeight="1">
      <c r="A634" s="68"/>
      <c r="B634" s="69"/>
      <c r="C634" s="240" t="s">
        <v>845</v>
      </c>
      <c r="D634" s="240"/>
      <c r="E634" s="241"/>
      <c r="F634" s="70"/>
      <c r="G634" s="71"/>
      <c r="H634" s="71"/>
      <c r="I634" s="71"/>
      <c r="J634" s="240" t="s">
        <v>404</v>
      </c>
      <c r="K634" s="241"/>
      <c r="L634" s="49">
        <v>14400000</v>
      </c>
      <c r="M634" s="49">
        <v>0</v>
      </c>
      <c r="N634" s="49"/>
      <c r="O634" s="49"/>
      <c r="P634" s="49"/>
      <c r="Q634" s="49">
        <f>SUM(N634:P634)</f>
        <v>0</v>
      </c>
      <c r="R634" s="72"/>
      <c r="S634" s="49">
        <f>M634-Q634</f>
        <v>0</v>
      </c>
      <c r="T634" s="49">
        <v>0</v>
      </c>
      <c r="U634" s="49">
        <f t="shared" ref="U634:U652" si="138">T634+M634</f>
        <v>0</v>
      </c>
      <c r="V634" s="49">
        <f t="shared" ref="V634:V642" si="139">T634+S634</f>
        <v>0</v>
      </c>
      <c r="W634" s="49"/>
      <c r="X634" s="49"/>
      <c r="Y634" s="49"/>
      <c r="Z634" s="49"/>
      <c r="AA634" s="49">
        <v>14400000</v>
      </c>
      <c r="AB634" s="49">
        <v>14400000</v>
      </c>
      <c r="AC634" s="49">
        <f t="shared" si="137"/>
        <v>0</v>
      </c>
      <c r="AD634" s="49">
        <f>AA634+T634+M634</f>
        <v>14400000</v>
      </c>
      <c r="AE634" s="49"/>
      <c r="AF634" s="49"/>
      <c r="AG634" s="49"/>
      <c r="AH634" s="49"/>
      <c r="AI634" s="49"/>
      <c r="AJ634" s="49">
        <v>14400000</v>
      </c>
      <c r="AK634" s="49">
        <f>Z634+Y634+X634+W634+N634+AG634+AE634+AJ634+AI634+AH634</f>
        <v>14400000</v>
      </c>
      <c r="AL634" s="49">
        <f>AK634/AD634*100</f>
        <v>100</v>
      </c>
      <c r="AM634" s="49"/>
      <c r="AN634" s="49"/>
      <c r="AO634" s="49"/>
      <c r="AP634" s="49"/>
      <c r="AQ634" s="49">
        <f>AK634+AM634+AN634+AO634+AP634</f>
        <v>14400000</v>
      </c>
      <c r="AR634" s="49">
        <f>AQ634/AB634*100</f>
        <v>100</v>
      </c>
      <c r="AS634" s="49">
        <f t="shared" si="136"/>
        <v>0</v>
      </c>
      <c r="AT634" s="49">
        <v>3091500</v>
      </c>
      <c r="AU634" s="49">
        <f>AT634+U634</f>
        <v>3091500</v>
      </c>
      <c r="AV634" s="49">
        <f>AK634</f>
        <v>14400000</v>
      </c>
      <c r="AW634" s="72">
        <f>AV634/AU634*100</f>
        <v>465.79330422125179</v>
      </c>
      <c r="AX634" s="49">
        <f>AU634-AV634</f>
        <v>-11308500</v>
      </c>
      <c r="AY634" s="49">
        <f t="shared" si="134"/>
        <v>0</v>
      </c>
      <c r="AZ634" s="73">
        <f t="shared" si="135"/>
        <v>14400000</v>
      </c>
    </row>
    <row r="635" spans="1:54" ht="20.100000000000001" customHeight="1">
      <c r="A635" s="60" t="s">
        <v>846</v>
      </c>
      <c r="B635" s="75"/>
      <c r="C635" s="247" t="s">
        <v>847</v>
      </c>
      <c r="D635" s="247"/>
      <c r="E635" s="248"/>
      <c r="F635" s="249" t="s">
        <v>7</v>
      </c>
      <c r="G635" s="250"/>
      <c r="H635" s="250"/>
      <c r="I635" s="250"/>
      <c r="J635" s="250"/>
      <c r="K635" s="251"/>
      <c r="L635" s="48">
        <f>L636+L653</f>
        <v>350068000</v>
      </c>
      <c r="M635" s="48">
        <f>M636+M653</f>
        <v>62436000</v>
      </c>
      <c r="N635" s="48">
        <f>N636+N653</f>
        <v>50683375</v>
      </c>
      <c r="O635" s="48">
        <f>O636+O653</f>
        <v>0</v>
      </c>
      <c r="P635" s="48">
        <f>P636+P653</f>
        <v>0</v>
      </c>
      <c r="Q635" s="48">
        <f>SUM(N635:P635)</f>
        <v>50683375</v>
      </c>
      <c r="R635" s="61">
        <f>Q635/M635*100</f>
        <v>81.176524761355623</v>
      </c>
      <c r="S635" s="48">
        <f>M635-Q635</f>
        <v>11752625</v>
      </c>
      <c r="T635" s="48">
        <f>T636+T653</f>
        <v>204015000</v>
      </c>
      <c r="U635" s="48">
        <f t="shared" si="138"/>
        <v>266451000</v>
      </c>
      <c r="V635" s="48">
        <f t="shared" si="139"/>
        <v>215767625</v>
      </c>
      <c r="W635" s="48">
        <f>W636+W653</f>
        <v>4780450</v>
      </c>
      <c r="X635" s="48">
        <f>X636+X653</f>
        <v>0</v>
      </c>
      <c r="Y635" s="48">
        <f>Y636+Y653</f>
        <v>141408250</v>
      </c>
      <c r="Z635" s="48"/>
      <c r="AA635" s="48">
        <f>AA636+AA653</f>
        <v>62381500</v>
      </c>
      <c r="AB635" s="48">
        <f>AB636+AB653</f>
        <v>350068000</v>
      </c>
      <c r="AC635" s="48">
        <f t="shared" si="137"/>
        <v>0</v>
      </c>
      <c r="AD635" s="48">
        <f>AA635+T635+M635</f>
        <v>328832500</v>
      </c>
      <c r="AE635" s="48">
        <f t="shared" ref="AE635:AK635" si="140">AE636+AE653</f>
        <v>0</v>
      </c>
      <c r="AF635" s="48">
        <f t="shared" si="140"/>
        <v>0</v>
      </c>
      <c r="AG635" s="48">
        <f t="shared" si="140"/>
        <v>3080000</v>
      </c>
      <c r="AH635" s="48">
        <f t="shared" si="140"/>
        <v>0</v>
      </c>
      <c r="AI635" s="48">
        <f t="shared" si="140"/>
        <v>0</v>
      </c>
      <c r="AJ635" s="48">
        <f t="shared" si="140"/>
        <v>38363160</v>
      </c>
      <c r="AK635" s="48">
        <f t="shared" si="140"/>
        <v>236941235</v>
      </c>
      <c r="AL635" s="48">
        <f>AK635/AB635*100</f>
        <v>67.684345612852354</v>
      </c>
      <c r="AM635" s="48">
        <f>AM636+AM653</f>
        <v>0</v>
      </c>
      <c r="AN635" s="48">
        <f>AN636+AN653</f>
        <v>0</v>
      </c>
      <c r="AO635" s="48">
        <f>AO636+AO653</f>
        <v>43094750</v>
      </c>
      <c r="AP635" s="48">
        <f>AP636+AP653</f>
        <v>0</v>
      </c>
      <c r="AQ635" s="48">
        <f>AK635+AM635+AN635+AO635+AP635</f>
        <v>280035985</v>
      </c>
      <c r="AR635" s="48">
        <f>AQ635/AB635*100</f>
        <v>79.994739593450419</v>
      </c>
      <c r="AS635" s="48">
        <f>AB635-AQ635</f>
        <v>70032015</v>
      </c>
      <c r="AT635" s="48">
        <v>120767500</v>
      </c>
      <c r="AU635" s="48">
        <f>AT635+U635</f>
        <v>387218500</v>
      </c>
      <c r="AV635" s="48">
        <f>AK635</f>
        <v>236941235</v>
      </c>
      <c r="AW635" s="61">
        <f>AV635/AU635*100</f>
        <v>61.190577154758877</v>
      </c>
      <c r="AX635" s="48">
        <f>AU635-AV635</f>
        <v>150277265</v>
      </c>
      <c r="AY635" s="48">
        <f>AS635/AB635*100</f>
        <v>20.005260406549585</v>
      </c>
      <c r="AZ635" s="73">
        <f t="shared" si="135"/>
        <v>236941235</v>
      </c>
    </row>
    <row r="636" spans="1:54" ht="20.100000000000001" customHeight="1">
      <c r="A636" s="62">
        <v>37</v>
      </c>
      <c r="B636" s="63"/>
      <c r="C636" s="242" t="s">
        <v>848</v>
      </c>
      <c r="D636" s="242"/>
      <c r="E636" s="243"/>
      <c r="F636" s="79"/>
      <c r="G636" s="80"/>
      <c r="H636" s="244" t="s">
        <v>849</v>
      </c>
      <c r="I636" s="244"/>
      <c r="J636" s="244"/>
      <c r="K636" s="245"/>
      <c r="L636" s="65">
        <f>SUM(L638:L652)</f>
        <v>10587000</v>
      </c>
      <c r="M636" s="65">
        <f>SUM(M638:M652)</f>
        <v>10587000</v>
      </c>
      <c r="N636" s="65">
        <f>SUM(N638:N652)</f>
        <v>6769000</v>
      </c>
      <c r="O636" s="65">
        <f>SUM(O638:O652)</f>
        <v>0</v>
      </c>
      <c r="P636" s="65">
        <f>SUM(P638:P652)</f>
        <v>0</v>
      </c>
      <c r="Q636" s="65">
        <f>SUM(N636:P636)</f>
        <v>6769000</v>
      </c>
      <c r="R636" s="66">
        <f>Q636/M636*100</f>
        <v>63.936903749881935</v>
      </c>
      <c r="S636" s="65">
        <f>M636-Q636</f>
        <v>3818000</v>
      </c>
      <c r="T636" s="65">
        <f>SUM(T638:T652)</f>
        <v>0</v>
      </c>
      <c r="U636" s="65">
        <f t="shared" si="138"/>
        <v>10587000</v>
      </c>
      <c r="V636" s="65">
        <f t="shared" si="139"/>
        <v>3818000</v>
      </c>
      <c r="W636" s="65">
        <f>SUM(W638:W652)</f>
        <v>2530450</v>
      </c>
      <c r="X636" s="65">
        <f>SUM(X638:X652)</f>
        <v>0</v>
      </c>
      <c r="Y636" s="65">
        <f>SUM(Y638:Y652)</f>
        <v>0</v>
      </c>
      <c r="Z636" s="65"/>
      <c r="AA636" s="65">
        <f>SUM(AA638:AA652)</f>
        <v>0</v>
      </c>
      <c r="AB636" s="65">
        <f>SUM(AB638:AB652)</f>
        <v>10587000</v>
      </c>
      <c r="AC636" s="65">
        <f t="shared" si="137"/>
        <v>0</v>
      </c>
      <c r="AD636" s="65">
        <f>AA636+T636+M636</f>
        <v>10587000</v>
      </c>
      <c r="AE636" s="65">
        <f t="shared" ref="AE636:AK636" si="141">SUM(AE638:AE652)</f>
        <v>0</v>
      </c>
      <c r="AF636" s="65">
        <f t="shared" si="141"/>
        <v>0</v>
      </c>
      <c r="AG636" s="65">
        <f t="shared" si="141"/>
        <v>0</v>
      </c>
      <c r="AH636" s="65">
        <f t="shared" si="141"/>
        <v>0</v>
      </c>
      <c r="AI636" s="65">
        <f t="shared" si="141"/>
        <v>0</v>
      </c>
      <c r="AJ636" s="65">
        <f t="shared" si="141"/>
        <v>1160000</v>
      </c>
      <c r="AK636" s="65">
        <f t="shared" si="141"/>
        <v>10459450</v>
      </c>
      <c r="AL636" s="65">
        <f>AK636/AB636*100</f>
        <v>98.795220553509026</v>
      </c>
      <c r="AM636" s="65">
        <f>SUM(AM638:AM652)</f>
        <v>0</v>
      </c>
      <c r="AN636" s="65">
        <f>SUM(AN638:AN652)</f>
        <v>0</v>
      </c>
      <c r="AO636" s="65">
        <f>SUM(AO638:AO652)</f>
        <v>0</v>
      </c>
      <c r="AP636" s="65">
        <f>SUM(AP638:AP652)</f>
        <v>0</v>
      </c>
      <c r="AQ636" s="65">
        <f>AK636+AM636+AN636+AO636+AP636</f>
        <v>10459450</v>
      </c>
      <c r="AR636" s="65">
        <f>AQ636/AB636*100</f>
        <v>98.795220553509026</v>
      </c>
      <c r="AS636" s="65">
        <f>AB636-AQ636</f>
        <v>127550</v>
      </c>
      <c r="AT636" s="65">
        <f>SUM(AT639:AT645)</f>
        <v>12366000</v>
      </c>
      <c r="AU636" s="65">
        <f>AT636+U636</f>
        <v>22953000</v>
      </c>
      <c r="AV636" s="65">
        <f>AK636</f>
        <v>10459450</v>
      </c>
      <c r="AW636" s="66">
        <f>AV636/AU636*100</f>
        <v>45.568988803206551</v>
      </c>
      <c r="AX636" s="65">
        <f>AU636-AV636</f>
        <v>12493550</v>
      </c>
      <c r="AY636" s="65">
        <f>AS636/AB636*100</f>
        <v>1.2047794464909796</v>
      </c>
      <c r="AZ636" s="67">
        <f t="shared" si="135"/>
        <v>10459450</v>
      </c>
      <c r="BA636" s="29">
        <f>AS636</f>
        <v>127550</v>
      </c>
    </row>
    <row r="637" spans="1:54" ht="20.100000000000001" hidden="1" customHeight="1">
      <c r="A637" s="68"/>
      <c r="B637" s="69"/>
      <c r="C637" s="240" t="s">
        <v>850</v>
      </c>
      <c r="D637" s="240"/>
      <c r="E637" s="241"/>
      <c r="F637" s="70"/>
      <c r="G637" s="71"/>
      <c r="H637" s="240" t="s">
        <v>10</v>
      </c>
      <c r="I637" s="240"/>
      <c r="J637" s="240"/>
      <c r="K637" s="241"/>
      <c r="L637" s="49"/>
      <c r="M637" s="49"/>
      <c r="N637" s="49"/>
      <c r="O637" s="49"/>
      <c r="P637" s="49"/>
      <c r="Q637" s="49"/>
      <c r="R637" s="72"/>
      <c r="S637" s="49"/>
      <c r="T637" s="49">
        <v>0</v>
      </c>
      <c r="U637" s="49">
        <f t="shared" si="138"/>
        <v>0</v>
      </c>
      <c r="V637" s="49">
        <f t="shared" si="139"/>
        <v>0</v>
      </c>
      <c r="W637" s="49"/>
      <c r="X637" s="49"/>
      <c r="Y637" s="49"/>
      <c r="Z637" s="49"/>
      <c r="AA637" s="49">
        <v>0</v>
      </c>
      <c r="AB637" s="49"/>
      <c r="AC637" s="49">
        <f t="shared" si="137"/>
        <v>0</v>
      </c>
      <c r="AD637" s="49"/>
      <c r="AE637" s="49"/>
      <c r="AF637" s="49"/>
      <c r="AG637" s="49"/>
      <c r="AH637" s="49"/>
      <c r="AI637" s="49"/>
      <c r="AJ637" s="49"/>
      <c r="AK637" s="49"/>
      <c r="AL637" s="49"/>
      <c r="AM637" s="49"/>
      <c r="AN637" s="49"/>
      <c r="AO637" s="49"/>
      <c r="AP637" s="49"/>
      <c r="AQ637" s="49"/>
      <c r="AR637" s="49"/>
      <c r="AS637" s="49"/>
      <c r="AT637" s="49"/>
      <c r="AU637" s="49"/>
      <c r="AV637" s="49"/>
      <c r="AW637" s="49"/>
      <c r="AX637" s="49"/>
      <c r="AY637" s="49"/>
      <c r="AZ637" s="73">
        <f t="shared" si="135"/>
        <v>0</v>
      </c>
    </row>
    <row r="638" spans="1:54" ht="20.100000000000001" hidden="1" customHeight="1">
      <c r="A638" s="68"/>
      <c r="B638" s="69"/>
      <c r="C638" s="240" t="s">
        <v>851</v>
      </c>
      <c r="D638" s="240"/>
      <c r="E638" s="241"/>
      <c r="F638" s="70"/>
      <c r="G638" s="71"/>
      <c r="H638" s="71"/>
      <c r="I638" s="71"/>
      <c r="J638" s="240" t="s">
        <v>283</v>
      </c>
      <c r="K638" s="241"/>
      <c r="L638" s="49">
        <v>2670000</v>
      </c>
      <c r="M638" s="49">
        <v>2670000</v>
      </c>
      <c r="N638" s="49">
        <v>2620000</v>
      </c>
      <c r="O638" s="49"/>
      <c r="P638" s="49"/>
      <c r="Q638" s="49">
        <f>SUM(N638:P638)</f>
        <v>2620000</v>
      </c>
      <c r="R638" s="72">
        <f>Q638/M638*100</f>
        <v>98.12734082397003</v>
      </c>
      <c r="S638" s="49">
        <f>M638-Q638</f>
        <v>50000</v>
      </c>
      <c r="T638" s="49">
        <v>0</v>
      </c>
      <c r="U638" s="49">
        <f t="shared" si="138"/>
        <v>2670000</v>
      </c>
      <c r="V638" s="49">
        <f t="shared" si="139"/>
        <v>50000</v>
      </c>
      <c r="W638" s="49"/>
      <c r="X638" s="49"/>
      <c r="Y638" s="49"/>
      <c r="Z638" s="49"/>
      <c r="AA638" s="49">
        <v>0</v>
      </c>
      <c r="AB638" s="49">
        <v>2670000</v>
      </c>
      <c r="AC638" s="49">
        <f t="shared" si="137"/>
        <v>0</v>
      </c>
      <c r="AD638" s="49">
        <f>AA638+T638+M638</f>
        <v>2670000</v>
      </c>
      <c r="AE638" s="49"/>
      <c r="AF638" s="49"/>
      <c r="AG638" s="49"/>
      <c r="AH638" s="49"/>
      <c r="AI638" s="49"/>
      <c r="AJ638" s="49"/>
      <c r="AK638" s="49">
        <f>Z638+Y638+X638+W638+N638+AG638+AE638+AJ638+AI638+AH638</f>
        <v>2620000</v>
      </c>
      <c r="AL638" s="49">
        <f>AK638/AD638*100</f>
        <v>98.12734082397003</v>
      </c>
      <c r="AM638" s="49"/>
      <c r="AN638" s="49"/>
      <c r="AO638" s="49"/>
      <c r="AP638" s="49"/>
      <c r="AQ638" s="49">
        <f>AK638+AM638+AN638+AO638+AP638</f>
        <v>2620000</v>
      </c>
      <c r="AR638" s="49">
        <f>AQ638/AB638*100</f>
        <v>98.12734082397003</v>
      </c>
      <c r="AS638" s="49">
        <f t="shared" si="136"/>
        <v>50000</v>
      </c>
      <c r="AT638" s="49">
        <v>3091500</v>
      </c>
      <c r="AU638" s="49">
        <f t="shared" ref="AU638:AU645" si="142">AT638+U638</f>
        <v>5761500</v>
      </c>
      <c r="AV638" s="49">
        <f t="shared" ref="AV638:AV645" si="143">AK638</f>
        <v>2620000</v>
      </c>
      <c r="AW638" s="72">
        <f t="shared" ref="AW638:AW645" si="144">AV638/AU638*100</f>
        <v>45.474268853597152</v>
      </c>
      <c r="AX638" s="49">
        <f t="shared" ref="AX638:AX645" si="145">AU638-AV638</f>
        <v>3141500</v>
      </c>
      <c r="AY638" s="49">
        <f t="shared" si="134"/>
        <v>1.8726591760299627</v>
      </c>
      <c r="AZ638" s="73">
        <f t="shared" si="135"/>
        <v>2620000</v>
      </c>
    </row>
    <row r="639" spans="1:54" ht="20.100000000000001" hidden="1" customHeight="1">
      <c r="A639" s="68"/>
      <c r="B639" s="69"/>
      <c r="C639" s="240" t="s">
        <v>852</v>
      </c>
      <c r="D639" s="240"/>
      <c r="E639" s="241"/>
      <c r="F639" s="70"/>
      <c r="G639" s="71"/>
      <c r="H639" s="240" t="s">
        <v>143</v>
      </c>
      <c r="I639" s="240"/>
      <c r="J639" s="240"/>
      <c r="K639" s="241"/>
      <c r="L639" s="49"/>
      <c r="M639" s="49"/>
      <c r="N639" s="49"/>
      <c r="O639" s="49"/>
      <c r="P639" s="49"/>
      <c r="Q639" s="49"/>
      <c r="R639" s="72"/>
      <c r="S639" s="49"/>
      <c r="T639" s="49">
        <v>0</v>
      </c>
      <c r="U639" s="49">
        <f t="shared" si="138"/>
        <v>0</v>
      </c>
      <c r="V639" s="49">
        <f t="shared" si="139"/>
        <v>0</v>
      </c>
      <c r="W639" s="49"/>
      <c r="X639" s="49"/>
      <c r="Y639" s="49"/>
      <c r="Z639" s="49"/>
      <c r="AA639" s="49">
        <v>0</v>
      </c>
      <c r="AB639" s="49"/>
      <c r="AC639" s="49">
        <f t="shared" si="137"/>
        <v>0</v>
      </c>
      <c r="AD639" s="49"/>
      <c r="AE639" s="49"/>
      <c r="AF639" s="49"/>
      <c r="AG639" s="49"/>
      <c r="AH639" s="49"/>
      <c r="AI639" s="49"/>
      <c r="AJ639" s="49"/>
      <c r="AK639" s="49"/>
      <c r="AL639" s="49"/>
      <c r="AM639" s="49"/>
      <c r="AN639" s="49"/>
      <c r="AO639" s="49"/>
      <c r="AP639" s="49"/>
      <c r="AQ639" s="49"/>
      <c r="AR639" s="49"/>
      <c r="AS639" s="49"/>
      <c r="AT639" s="49"/>
      <c r="AU639" s="49"/>
      <c r="AV639" s="49"/>
      <c r="AW639" s="49"/>
      <c r="AX639" s="49"/>
      <c r="AY639" s="49"/>
      <c r="AZ639" s="73">
        <f t="shared" si="135"/>
        <v>0</v>
      </c>
    </row>
    <row r="640" spans="1:54" ht="20.100000000000001" hidden="1" customHeight="1">
      <c r="A640" s="68"/>
      <c r="B640" s="69"/>
      <c r="C640" s="240" t="s">
        <v>853</v>
      </c>
      <c r="D640" s="240"/>
      <c r="E640" s="241"/>
      <c r="F640" s="70"/>
      <c r="G640" s="71"/>
      <c r="H640" s="71"/>
      <c r="I640" s="240" t="s">
        <v>145</v>
      </c>
      <c r="J640" s="240"/>
      <c r="K640" s="241"/>
      <c r="L640" s="49"/>
      <c r="M640" s="49"/>
      <c r="N640" s="49"/>
      <c r="O640" s="49"/>
      <c r="P640" s="49"/>
      <c r="Q640" s="49"/>
      <c r="R640" s="72"/>
      <c r="S640" s="49"/>
      <c r="T640" s="49">
        <v>0</v>
      </c>
      <c r="U640" s="49">
        <f t="shared" si="138"/>
        <v>0</v>
      </c>
      <c r="V640" s="49">
        <f t="shared" si="139"/>
        <v>0</v>
      </c>
      <c r="W640" s="49"/>
      <c r="X640" s="49"/>
      <c r="Y640" s="49"/>
      <c r="Z640" s="49"/>
      <c r="AA640" s="49">
        <v>0</v>
      </c>
      <c r="AB640" s="49"/>
      <c r="AC640" s="49">
        <f t="shared" si="137"/>
        <v>0</v>
      </c>
      <c r="AD640" s="49"/>
      <c r="AE640" s="49"/>
      <c r="AF640" s="49"/>
      <c r="AG640" s="49"/>
      <c r="AH640" s="49"/>
      <c r="AI640" s="49"/>
      <c r="AJ640" s="49"/>
      <c r="AK640" s="49"/>
      <c r="AL640" s="49"/>
      <c r="AM640" s="49"/>
      <c r="AN640" s="49"/>
      <c r="AO640" s="49"/>
      <c r="AP640" s="49"/>
      <c r="AQ640" s="49"/>
      <c r="AR640" s="49"/>
      <c r="AS640" s="49"/>
      <c r="AT640" s="49"/>
      <c r="AU640" s="49"/>
      <c r="AV640" s="49"/>
      <c r="AW640" s="49"/>
      <c r="AX640" s="49"/>
      <c r="AY640" s="49"/>
      <c r="AZ640" s="73">
        <f t="shared" si="135"/>
        <v>0</v>
      </c>
    </row>
    <row r="641" spans="1:52" ht="20.100000000000001" hidden="1" customHeight="1">
      <c r="A641" s="68"/>
      <c r="B641" s="69"/>
      <c r="C641" s="246" t="s">
        <v>854</v>
      </c>
      <c r="D641" s="240"/>
      <c r="E641" s="241"/>
      <c r="F641" s="70"/>
      <c r="G641" s="71"/>
      <c r="H641" s="71"/>
      <c r="I641" s="240" t="s">
        <v>147</v>
      </c>
      <c r="J641" s="240"/>
      <c r="K641" s="241"/>
      <c r="L641" s="49">
        <v>884000</v>
      </c>
      <c r="M641" s="81">
        <v>884000</v>
      </c>
      <c r="N641" s="49">
        <v>864000</v>
      </c>
      <c r="O641" s="49"/>
      <c r="P641" s="49"/>
      <c r="Q641" s="49">
        <f>SUM(N641:P641)</f>
        <v>864000</v>
      </c>
      <c r="R641" s="72">
        <f>Q641/M641*100</f>
        <v>97.737556561085967</v>
      </c>
      <c r="S641" s="49">
        <f>M641-Q641</f>
        <v>20000</v>
      </c>
      <c r="T641" s="49">
        <v>0</v>
      </c>
      <c r="U641" s="49">
        <f t="shared" si="138"/>
        <v>884000</v>
      </c>
      <c r="V641" s="49">
        <f t="shared" si="139"/>
        <v>20000</v>
      </c>
      <c r="W641" s="49"/>
      <c r="X641" s="49"/>
      <c r="Y641" s="49"/>
      <c r="Z641" s="49"/>
      <c r="AA641" s="49"/>
      <c r="AB641" s="49">
        <v>884000</v>
      </c>
      <c r="AC641" s="49">
        <f t="shared" si="137"/>
        <v>0</v>
      </c>
      <c r="AD641" s="49">
        <f>AA641+T641+M641</f>
        <v>884000</v>
      </c>
      <c r="AE641" s="49"/>
      <c r="AF641" s="49"/>
      <c r="AG641" s="49"/>
      <c r="AH641" s="49"/>
      <c r="AI641" s="49"/>
      <c r="AJ641" s="49"/>
      <c r="AK641" s="49">
        <f>Z641+Y641+X641+W641+N641+AG641+AE641+AJ641+AI641+AH641</f>
        <v>864000</v>
      </c>
      <c r="AL641" s="49">
        <f>AK641/AD641*100</f>
        <v>97.737556561085967</v>
      </c>
      <c r="AM641" s="49"/>
      <c r="AN641" s="49"/>
      <c r="AO641" s="49"/>
      <c r="AP641" s="49"/>
      <c r="AQ641" s="49">
        <f>AK641+AM641+AN641+AO641+AP641</f>
        <v>864000</v>
      </c>
      <c r="AR641" s="49">
        <f>AQ641/AB641*100</f>
        <v>97.737556561085967</v>
      </c>
      <c r="AS641" s="49">
        <f t="shared" si="136"/>
        <v>20000</v>
      </c>
      <c r="AT641" s="49">
        <v>3091500</v>
      </c>
      <c r="AU641" s="49">
        <f t="shared" si="142"/>
        <v>3975500</v>
      </c>
      <c r="AV641" s="49">
        <f t="shared" si="143"/>
        <v>864000</v>
      </c>
      <c r="AW641" s="72">
        <f t="shared" si="144"/>
        <v>21.733115331404854</v>
      </c>
      <c r="AX641" s="49">
        <f t="shared" si="145"/>
        <v>3111500</v>
      </c>
      <c r="AY641" s="49">
        <f t="shared" si="134"/>
        <v>2.2624434389140271</v>
      </c>
      <c r="AZ641" s="73">
        <f t="shared" si="135"/>
        <v>864000</v>
      </c>
    </row>
    <row r="642" spans="1:52" ht="20.100000000000001" hidden="1" customHeight="1">
      <c r="A642" s="68"/>
      <c r="B642" s="69"/>
      <c r="C642" s="240" t="s">
        <v>855</v>
      </c>
      <c r="D642" s="240"/>
      <c r="E642" s="241"/>
      <c r="F642" s="70"/>
      <c r="G642" s="71"/>
      <c r="H642" s="71"/>
      <c r="I642" s="240" t="s">
        <v>151</v>
      </c>
      <c r="J642" s="240"/>
      <c r="K642" s="241"/>
      <c r="L642" s="49"/>
      <c r="M642" s="49"/>
      <c r="N642" s="49"/>
      <c r="O642" s="49"/>
      <c r="P642" s="49"/>
      <c r="Q642" s="49"/>
      <c r="R642" s="72"/>
      <c r="S642" s="49"/>
      <c r="T642" s="49">
        <v>0</v>
      </c>
      <c r="U642" s="49">
        <f t="shared" si="138"/>
        <v>0</v>
      </c>
      <c r="V642" s="49">
        <f t="shared" si="139"/>
        <v>0</v>
      </c>
      <c r="W642" s="49"/>
      <c r="X642" s="49"/>
      <c r="Y642" s="49"/>
      <c r="Z642" s="49"/>
      <c r="AA642" s="49">
        <v>0</v>
      </c>
      <c r="AB642" s="49"/>
      <c r="AC642" s="49">
        <f t="shared" si="137"/>
        <v>0</v>
      </c>
      <c r="AD642" s="49"/>
      <c r="AE642" s="49"/>
      <c r="AF642" s="49"/>
      <c r="AG642" s="49"/>
      <c r="AH642" s="49"/>
      <c r="AI642" s="49"/>
      <c r="AJ642" s="49"/>
      <c r="AK642" s="49"/>
      <c r="AL642" s="49"/>
      <c r="AM642" s="49"/>
      <c r="AN642" s="49"/>
      <c r="AO642" s="49"/>
      <c r="AP642" s="49"/>
      <c r="AQ642" s="49"/>
      <c r="AR642" s="49"/>
      <c r="AS642" s="49"/>
      <c r="AT642" s="49"/>
      <c r="AU642" s="49"/>
      <c r="AV642" s="49"/>
      <c r="AW642" s="49"/>
      <c r="AX642" s="49"/>
      <c r="AY642" s="49"/>
      <c r="AZ642" s="73">
        <f t="shared" si="135"/>
        <v>0</v>
      </c>
    </row>
    <row r="643" spans="1:52" ht="20.100000000000001" hidden="1" customHeight="1">
      <c r="A643" s="68"/>
      <c r="B643" s="69"/>
      <c r="C643" s="246" t="s">
        <v>856</v>
      </c>
      <c r="D643" s="240"/>
      <c r="E643" s="241"/>
      <c r="F643" s="70"/>
      <c r="G643" s="71"/>
      <c r="H643" s="71"/>
      <c r="I643" s="82"/>
      <c r="J643" s="240" t="s">
        <v>153</v>
      </c>
      <c r="K643" s="241"/>
      <c r="L643" s="49">
        <v>290000</v>
      </c>
      <c r="M643" s="81">
        <v>290000</v>
      </c>
      <c r="N643" s="49">
        <f>200000+90000</f>
        <v>290000</v>
      </c>
      <c r="O643" s="49"/>
      <c r="P643" s="49"/>
      <c r="Q643" s="49">
        <f>SUM(N643:P643)</f>
        <v>290000</v>
      </c>
      <c r="R643" s="72">
        <f>Q643/M643*100</f>
        <v>100</v>
      </c>
      <c r="S643" s="49">
        <f>M643-Q643</f>
        <v>0</v>
      </c>
      <c r="T643" s="49"/>
      <c r="U643" s="49">
        <f t="shared" si="138"/>
        <v>290000</v>
      </c>
      <c r="V643" s="49"/>
      <c r="W643" s="49"/>
      <c r="X643" s="49"/>
      <c r="Y643" s="49"/>
      <c r="Z643" s="49"/>
      <c r="AA643" s="49"/>
      <c r="AB643" s="49">
        <v>290000</v>
      </c>
      <c r="AC643" s="49">
        <f t="shared" si="137"/>
        <v>0</v>
      </c>
      <c r="AD643" s="49">
        <f>AA643+T643+M643</f>
        <v>290000</v>
      </c>
      <c r="AE643" s="49"/>
      <c r="AF643" s="49"/>
      <c r="AG643" s="49"/>
      <c r="AH643" s="49"/>
      <c r="AI643" s="49"/>
      <c r="AJ643" s="49"/>
      <c r="AK643" s="49">
        <f>Z643+Y643+X643+W643+N643+AG643+AE643+AJ643+AI643+AH643</f>
        <v>290000</v>
      </c>
      <c r="AL643" s="49">
        <f>AK643/AD643*100</f>
        <v>100</v>
      </c>
      <c r="AM643" s="49"/>
      <c r="AN643" s="49"/>
      <c r="AO643" s="49"/>
      <c r="AP643" s="49"/>
      <c r="AQ643" s="49">
        <f>AK643+AM643+AN643+AO643+AP643</f>
        <v>290000</v>
      </c>
      <c r="AR643" s="49">
        <f>AQ643/AB643*100</f>
        <v>100</v>
      </c>
      <c r="AS643" s="49">
        <f t="shared" si="136"/>
        <v>0</v>
      </c>
      <c r="AT643" s="49">
        <v>3091500</v>
      </c>
      <c r="AU643" s="49">
        <f t="shared" si="142"/>
        <v>3381500</v>
      </c>
      <c r="AV643" s="49">
        <f t="shared" si="143"/>
        <v>290000</v>
      </c>
      <c r="AW643" s="72">
        <f t="shared" si="144"/>
        <v>8.5760757060476109</v>
      </c>
      <c r="AX643" s="49">
        <f t="shared" si="145"/>
        <v>3091500</v>
      </c>
      <c r="AY643" s="49">
        <f t="shared" si="134"/>
        <v>0</v>
      </c>
      <c r="AZ643" s="73">
        <f t="shared" si="135"/>
        <v>290000</v>
      </c>
    </row>
    <row r="644" spans="1:52" ht="20.100000000000001" hidden="1" customHeight="1">
      <c r="A644" s="68"/>
      <c r="B644" s="69"/>
      <c r="C644" s="240" t="s">
        <v>857</v>
      </c>
      <c r="D644" s="240"/>
      <c r="E644" s="241"/>
      <c r="F644" s="70"/>
      <c r="G644" s="71"/>
      <c r="H644" s="71"/>
      <c r="I644" s="71"/>
      <c r="J644" s="240" t="s">
        <v>155</v>
      </c>
      <c r="K644" s="241"/>
      <c r="L644" s="49">
        <v>1220500</v>
      </c>
      <c r="M644" s="49">
        <v>1220500</v>
      </c>
      <c r="N644" s="49">
        <v>700000</v>
      </c>
      <c r="O644" s="49"/>
      <c r="P644" s="49"/>
      <c r="Q644" s="49">
        <f>SUM(N644:P644)</f>
        <v>700000</v>
      </c>
      <c r="R644" s="72">
        <f>Q644/M644*100</f>
        <v>57.353543629659974</v>
      </c>
      <c r="S644" s="49">
        <f>M644-Q644</f>
        <v>520500</v>
      </c>
      <c r="T644" s="49">
        <v>0</v>
      </c>
      <c r="U644" s="49">
        <f t="shared" si="138"/>
        <v>1220500</v>
      </c>
      <c r="V644" s="49">
        <f t="shared" ref="V644:V652" si="146">T644+S644</f>
        <v>520500</v>
      </c>
      <c r="W644" s="49">
        <v>520450</v>
      </c>
      <c r="X644" s="49"/>
      <c r="Y644" s="49"/>
      <c r="Z644" s="49"/>
      <c r="AA644" s="49">
        <v>0</v>
      </c>
      <c r="AB644" s="49">
        <v>1220500</v>
      </c>
      <c r="AC644" s="49">
        <f t="shared" si="137"/>
        <v>0</v>
      </c>
      <c r="AD644" s="49">
        <f>AA644+T644+M644</f>
        <v>1220500</v>
      </c>
      <c r="AE644" s="49"/>
      <c r="AF644" s="49"/>
      <c r="AG644" s="49">
        <v>0</v>
      </c>
      <c r="AH644" s="49"/>
      <c r="AI644" s="49">
        <v>0</v>
      </c>
      <c r="AJ644" s="49">
        <v>0</v>
      </c>
      <c r="AK644" s="49">
        <f>Z644+Y644+X644+W644+N644+AG644+AE644+AJ644+AI644+AH644</f>
        <v>1220450</v>
      </c>
      <c r="AL644" s="49">
        <f>AK644/AD644*100</f>
        <v>99.995903318312159</v>
      </c>
      <c r="AM644" s="49"/>
      <c r="AN644" s="49"/>
      <c r="AO644" s="49"/>
      <c r="AP644" s="49"/>
      <c r="AQ644" s="49">
        <f>AK644+AM644+AN644+AO644+AP644</f>
        <v>1220450</v>
      </c>
      <c r="AR644" s="49">
        <f>AQ644/AB644*100</f>
        <v>99.995903318312159</v>
      </c>
      <c r="AS644" s="49">
        <f t="shared" si="136"/>
        <v>50</v>
      </c>
      <c r="AT644" s="49">
        <v>3091500</v>
      </c>
      <c r="AU644" s="49">
        <f t="shared" si="142"/>
        <v>4312000</v>
      </c>
      <c r="AV644" s="49">
        <f t="shared" si="143"/>
        <v>1220450</v>
      </c>
      <c r="AW644" s="72">
        <f t="shared" si="144"/>
        <v>28.303571428571427</v>
      </c>
      <c r="AX644" s="49">
        <f t="shared" si="145"/>
        <v>3091550</v>
      </c>
      <c r="AY644" s="49">
        <f t="shared" si="134"/>
        <v>4.0966816878328554E-3</v>
      </c>
      <c r="AZ644" s="73">
        <f t="shared" si="135"/>
        <v>1220450</v>
      </c>
    </row>
    <row r="645" spans="1:52" ht="20.100000000000001" hidden="1" customHeight="1">
      <c r="A645" s="68"/>
      <c r="B645" s="69"/>
      <c r="C645" s="240" t="s">
        <v>858</v>
      </c>
      <c r="D645" s="240"/>
      <c r="E645" s="241"/>
      <c r="F645" s="70"/>
      <c r="G645" s="71"/>
      <c r="H645" s="71"/>
      <c r="I645" s="71"/>
      <c r="J645" s="240" t="s">
        <v>309</v>
      </c>
      <c r="K645" s="241"/>
      <c r="L645" s="49">
        <v>100000</v>
      </c>
      <c r="M645" s="49">
        <v>100000</v>
      </c>
      <c r="N645" s="49">
        <v>100000</v>
      </c>
      <c r="O645" s="49"/>
      <c r="P645" s="49"/>
      <c r="Q645" s="49">
        <f>SUM(N645:P645)</f>
        <v>100000</v>
      </c>
      <c r="R645" s="72">
        <f>Q645/M645*100</f>
        <v>100</v>
      </c>
      <c r="S645" s="49">
        <f>M645-Q645</f>
        <v>0</v>
      </c>
      <c r="T645" s="49">
        <v>0</v>
      </c>
      <c r="U645" s="49">
        <f t="shared" si="138"/>
        <v>100000</v>
      </c>
      <c r="V645" s="49">
        <f t="shared" si="146"/>
        <v>0</v>
      </c>
      <c r="W645" s="49"/>
      <c r="X645" s="49"/>
      <c r="Y645" s="49"/>
      <c r="Z645" s="49"/>
      <c r="AA645" s="49">
        <v>0</v>
      </c>
      <c r="AB645" s="49">
        <v>100000</v>
      </c>
      <c r="AC645" s="49">
        <f t="shared" si="137"/>
        <v>0</v>
      </c>
      <c r="AD645" s="49">
        <f>AA645+T645+M645</f>
        <v>100000</v>
      </c>
      <c r="AE645" s="49"/>
      <c r="AF645" s="49"/>
      <c r="AG645" s="49"/>
      <c r="AH645" s="49"/>
      <c r="AI645" s="49"/>
      <c r="AJ645" s="49"/>
      <c r="AK645" s="49">
        <f>Z645+Y645+X645+W645+N645+AG645+AE645+AJ645+AI645+AH645</f>
        <v>100000</v>
      </c>
      <c r="AL645" s="49">
        <f>AK645/AD645*100</f>
        <v>100</v>
      </c>
      <c r="AM645" s="49"/>
      <c r="AN645" s="49"/>
      <c r="AO645" s="49"/>
      <c r="AP645" s="49"/>
      <c r="AQ645" s="49">
        <f>AK645+AM645+AN645+AO645+AP645</f>
        <v>100000</v>
      </c>
      <c r="AR645" s="49">
        <f>AQ645/AB645*100</f>
        <v>100</v>
      </c>
      <c r="AS645" s="49">
        <f t="shared" si="136"/>
        <v>0</v>
      </c>
      <c r="AT645" s="49">
        <v>3091500</v>
      </c>
      <c r="AU645" s="49">
        <f t="shared" si="142"/>
        <v>3191500</v>
      </c>
      <c r="AV645" s="49">
        <f t="shared" si="143"/>
        <v>100000</v>
      </c>
      <c r="AW645" s="72">
        <f t="shared" si="144"/>
        <v>3.1333228889237037</v>
      </c>
      <c r="AX645" s="49">
        <f t="shared" si="145"/>
        <v>3091500</v>
      </c>
      <c r="AY645" s="49">
        <f t="shared" si="134"/>
        <v>0</v>
      </c>
      <c r="AZ645" s="73">
        <f t="shared" si="135"/>
        <v>100000</v>
      </c>
    </row>
    <row r="646" spans="1:52" ht="20.100000000000001" hidden="1" customHeight="1">
      <c r="A646" s="68"/>
      <c r="B646" s="69"/>
      <c r="C646" s="240" t="s">
        <v>859</v>
      </c>
      <c r="D646" s="240"/>
      <c r="E646" s="241"/>
      <c r="F646" s="70"/>
      <c r="G646" s="71"/>
      <c r="H646" s="71"/>
      <c r="I646" s="240" t="s">
        <v>193</v>
      </c>
      <c r="J646" s="240"/>
      <c r="K646" s="241"/>
      <c r="L646" s="49"/>
      <c r="M646" s="49"/>
      <c r="N646" s="49"/>
      <c r="O646" s="49"/>
      <c r="P646" s="49"/>
      <c r="Q646" s="49"/>
      <c r="R646" s="72"/>
      <c r="S646" s="49"/>
      <c r="T646" s="49">
        <v>0</v>
      </c>
      <c r="U646" s="49">
        <f t="shared" si="138"/>
        <v>0</v>
      </c>
      <c r="V646" s="49">
        <f t="shared" si="146"/>
        <v>0</v>
      </c>
      <c r="W646" s="49"/>
      <c r="X646" s="49"/>
      <c r="Y646" s="49"/>
      <c r="Z646" s="49"/>
      <c r="AA646" s="49">
        <v>0</v>
      </c>
      <c r="AB646" s="49"/>
      <c r="AC646" s="49">
        <f t="shared" si="137"/>
        <v>0</v>
      </c>
      <c r="AD646" s="49"/>
      <c r="AE646" s="49"/>
      <c r="AF646" s="49"/>
      <c r="AG646" s="49"/>
      <c r="AH646" s="49"/>
      <c r="AI646" s="49"/>
      <c r="AJ646" s="49"/>
      <c r="AK646" s="49"/>
      <c r="AL646" s="49"/>
      <c r="AM646" s="49"/>
      <c r="AN646" s="49"/>
      <c r="AO646" s="49"/>
      <c r="AP646" s="49"/>
      <c r="AQ646" s="49"/>
      <c r="AR646" s="49"/>
      <c r="AS646" s="49"/>
      <c r="AT646" s="49"/>
      <c r="AU646" s="49"/>
      <c r="AV646" s="49"/>
      <c r="AW646" s="49"/>
      <c r="AX646" s="49"/>
      <c r="AY646" s="49"/>
      <c r="AZ646" s="73">
        <f t="shared" si="135"/>
        <v>0</v>
      </c>
    </row>
    <row r="647" spans="1:52" ht="20.100000000000001" hidden="1" customHeight="1">
      <c r="A647" s="68"/>
      <c r="B647" s="69"/>
      <c r="C647" s="240" t="s">
        <v>860</v>
      </c>
      <c r="D647" s="240"/>
      <c r="E647" s="241"/>
      <c r="F647" s="70"/>
      <c r="G647" s="71"/>
      <c r="H647" s="71"/>
      <c r="I647" s="71"/>
      <c r="J647" s="240" t="s">
        <v>195</v>
      </c>
      <c r="K647" s="241"/>
      <c r="L647" s="49">
        <v>1995000</v>
      </c>
      <c r="M647" s="49">
        <v>1995000</v>
      </c>
      <c r="N647" s="49">
        <v>1995000</v>
      </c>
      <c r="O647" s="49"/>
      <c r="P647" s="49"/>
      <c r="Q647" s="49">
        <f>SUM(N647:P647)</f>
        <v>1995000</v>
      </c>
      <c r="R647" s="72">
        <f>Q647/M647*100</f>
        <v>100</v>
      </c>
      <c r="S647" s="49">
        <f>M647-Q647</f>
        <v>0</v>
      </c>
      <c r="T647" s="49">
        <v>0</v>
      </c>
      <c r="U647" s="49">
        <f t="shared" si="138"/>
        <v>1995000</v>
      </c>
      <c r="V647" s="49">
        <f t="shared" si="146"/>
        <v>0</v>
      </c>
      <c r="W647" s="49"/>
      <c r="X647" s="49"/>
      <c r="Y647" s="49"/>
      <c r="Z647" s="49"/>
      <c r="AA647" s="49">
        <v>0</v>
      </c>
      <c r="AB647" s="49">
        <v>1995000</v>
      </c>
      <c r="AC647" s="49">
        <f t="shared" si="137"/>
        <v>0</v>
      </c>
      <c r="AD647" s="49">
        <f>AA647+T647+M647</f>
        <v>1995000</v>
      </c>
      <c r="AE647" s="49"/>
      <c r="AF647" s="49"/>
      <c r="AG647" s="49"/>
      <c r="AH647" s="49"/>
      <c r="AI647" s="49"/>
      <c r="AJ647" s="49"/>
      <c r="AK647" s="49">
        <f>Z647+Y647+X647+W647+N647+AG647+AE647+AJ647+AI647+AH647</f>
        <v>1995000</v>
      </c>
      <c r="AL647" s="49">
        <f>AK647/AD647*100</f>
        <v>100</v>
      </c>
      <c r="AM647" s="49"/>
      <c r="AN647" s="49"/>
      <c r="AO647" s="49"/>
      <c r="AP647" s="49"/>
      <c r="AQ647" s="49">
        <f>AK647+AM647+AN647+AO647+AP647</f>
        <v>1995000</v>
      </c>
      <c r="AR647" s="49">
        <f>AQ647/AB647*100</f>
        <v>100</v>
      </c>
      <c r="AS647" s="49">
        <f t="shared" si="136"/>
        <v>0</v>
      </c>
      <c r="AT647" s="49">
        <v>3091500</v>
      </c>
      <c r="AU647" s="49">
        <f t="shared" ref="AU647:AU652" si="147">AT647+U647</f>
        <v>5086500</v>
      </c>
      <c r="AV647" s="49">
        <f t="shared" ref="AV647:AV652" si="148">AK647</f>
        <v>1995000</v>
      </c>
      <c r="AW647" s="72">
        <f t="shared" ref="AW647:AW652" si="149">AV647/AU647*100</f>
        <v>39.221468593335302</v>
      </c>
      <c r="AX647" s="49">
        <f t="shared" ref="AX647:AX652" si="150">AU647-AV647</f>
        <v>3091500</v>
      </c>
      <c r="AY647" s="49">
        <f t="shared" si="134"/>
        <v>0</v>
      </c>
      <c r="AZ647" s="73">
        <f t="shared" si="135"/>
        <v>1995000</v>
      </c>
    </row>
    <row r="648" spans="1:52" ht="20.100000000000001" hidden="1" customHeight="1">
      <c r="A648" s="68"/>
      <c r="B648" s="69"/>
      <c r="C648" s="240" t="s">
        <v>861</v>
      </c>
      <c r="D648" s="240"/>
      <c r="E648" s="241"/>
      <c r="F648" s="70"/>
      <c r="G648" s="71"/>
      <c r="H648" s="71"/>
      <c r="I648" s="240" t="s">
        <v>157</v>
      </c>
      <c r="J648" s="240"/>
      <c r="K648" s="241"/>
      <c r="L648" s="49"/>
      <c r="M648" s="49"/>
      <c r="N648" s="49"/>
      <c r="O648" s="49"/>
      <c r="P648" s="49"/>
      <c r="Q648" s="49"/>
      <c r="R648" s="72"/>
      <c r="S648" s="49"/>
      <c r="T648" s="49">
        <v>0</v>
      </c>
      <c r="U648" s="49">
        <f t="shared" si="138"/>
        <v>0</v>
      </c>
      <c r="V648" s="49">
        <f t="shared" si="146"/>
        <v>0</v>
      </c>
      <c r="W648" s="49"/>
      <c r="X648" s="49"/>
      <c r="Y648" s="49"/>
      <c r="Z648" s="49"/>
      <c r="AA648" s="49">
        <v>0</v>
      </c>
      <c r="AB648" s="49"/>
      <c r="AC648" s="49">
        <f t="shared" si="137"/>
        <v>0</v>
      </c>
      <c r="AD648" s="49"/>
      <c r="AE648" s="49"/>
      <c r="AF648" s="49"/>
      <c r="AG648" s="49"/>
      <c r="AH648" s="49"/>
      <c r="AI648" s="49"/>
      <c r="AJ648" s="49"/>
      <c r="AK648" s="49"/>
      <c r="AL648" s="49"/>
      <c r="AM648" s="49"/>
      <c r="AN648" s="49"/>
      <c r="AO648" s="49"/>
      <c r="AP648" s="49"/>
      <c r="AQ648" s="49"/>
      <c r="AR648" s="49"/>
      <c r="AS648" s="49"/>
      <c r="AT648" s="49"/>
      <c r="AU648" s="49"/>
      <c r="AV648" s="49"/>
      <c r="AW648" s="49"/>
      <c r="AX648" s="49"/>
      <c r="AY648" s="49"/>
      <c r="AZ648" s="73">
        <f t="shared" si="135"/>
        <v>0</v>
      </c>
    </row>
    <row r="649" spans="1:52" ht="20.100000000000001" hidden="1" customHeight="1">
      <c r="A649" s="68"/>
      <c r="B649" s="69"/>
      <c r="C649" s="240" t="s">
        <v>862</v>
      </c>
      <c r="D649" s="240"/>
      <c r="E649" s="241"/>
      <c r="F649" s="70"/>
      <c r="G649" s="71"/>
      <c r="H649" s="71"/>
      <c r="I649" s="71"/>
      <c r="J649" s="240" t="s">
        <v>159</v>
      </c>
      <c r="K649" s="241"/>
      <c r="L649" s="49">
        <v>2100000</v>
      </c>
      <c r="M649" s="49">
        <v>2100000</v>
      </c>
      <c r="N649" s="49"/>
      <c r="O649" s="49"/>
      <c r="P649" s="49"/>
      <c r="Q649" s="49">
        <f>SUM(N649:P649)</f>
        <v>0</v>
      </c>
      <c r="R649" s="72">
        <f>Q649/M649*100</f>
        <v>0</v>
      </c>
      <c r="S649" s="49">
        <f>M649-Q649</f>
        <v>2100000</v>
      </c>
      <c r="T649" s="49">
        <v>0</v>
      </c>
      <c r="U649" s="49">
        <f t="shared" si="138"/>
        <v>2100000</v>
      </c>
      <c r="V649" s="49">
        <f t="shared" si="146"/>
        <v>2100000</v>
      </c>
      <c r="W649" s="49">
        <v>920000</v>
      </c>
      <c r="X649" s="49"/>
      <c r="Y649" s="49"/>
      <c r="Z649" s="49"/>
      <c r="AA649" s="49">
        <v>0</v>
      </c>
      <c r="AB649" s="49">
        <v>2100000</v>
      </c>
      <c r="AC649" s="49">
        <f t="shared" si="137"/>
        <v>0</v>
      </c>
      <c r="AD649" s="49">
        <f>AA649+T649+M649</f>
        <v>2100000</v>
      </c>
      <c r="AE649" s="49"/>
      <c r="AF649" s="49"/>
      <c r="AG649" s="49">
        <v>0</v>
      </c>
      <c r="AH649" s="49"/>
      <c r="AI649" s="49">
        <v>0</v>
      </c>
      <c r="AJ649" s="49">
        <f>1160000</f>
        <v>1160000</v>
      </c>
      <c r="AK649" s="49">
        <f>Z649+Y649+X649+W649+N649+AG649+AE649+AJ649+AI649+AH649</f>
        <v>2080000</v>
      </c>
      <c r="AL649" s="49">
        <f>AK649/AD649*100</f>
        <v>99.047619047619051</v>
      </c>
      <c r="AM649" s="49"/>
      <c r="AN649" s="49"/>
      <c r="AO649" s="49"/>
      <c r="AP649" s="49"/>
      <c r="AQ649" s="49">
        <f>AK649+AM649+AN649+AO649+AP649</f>
        <v>2080000</v>
      </c>
      <c r="AR649" s="49">
        <f>AQ649/AB649*100</f>
        <v>99.047619047619051</v>
      </c>
      <c r="AS649" s="49">
        <f t="shared" si="136"/>
        <v>20000</v>
      </c>
      <c r="AT649" s="49">
        <v>3091500</v>
      </c>
      <c r="AU649" s="49">
        <f t="shared" si="147"/>
        <v>5191500</v>
      </c>
      <c r="AV649" s="49">
        <f t="shared" si="148"/>
        <v>2080000</v>
      </c>
      <c r="AW649" s="72">
        <f t="shared" si="149"/>
        <v>40.065491669074447</v>
      </c>
      <c r="AX649" s="49">
        <f t="shared" si="150"/>
        <v>3111500</v>
      </c>
      <c r="AY649" s="49">
        <f t="shared" si="134"/>
        <v>0.95238095238095244</v>
      </c>
      <c r="AZ649" s="73">
        <f t="shared" si="135"/>
        <v>2080000</v>
      </c>
    </row>
    <row r="650" spans="1:52" ht="20.100000000000001" hidden="1" customHeight="1">
      <c r="A650" s="68"/>
      <c r="B650" s="69"/>
      <c r="C650" s="240" t="s">
        <v>863</v>
      </c>
      <c r="D650" s="240"/>
      <c r="E650" s="241"/>
      <c r="F650" s="70"/>
      <c r="G650" s="71"/>
      <c r="H650" s="71"/>
      <c r="I650" s="71"/>
      <c r="J650" s="240" t="s">
        <v>207</v>
      </c>
      <c r="K650" s="241"/>
      <c r="L650" s="49">
        <v>1127500</v>
      </c>
      <c r="M650" s="49">
        <v>1127500</v>
      </c>
      <c r="N650" s="49"/>
      <c r="O650" s="49"/>
      <c r="P650" s="49"/>
      <c r="Q650" s="49">
        <f>SUM(N650:P650)</f>
        <v>0</v>
      </c>
      <c r="R650" s="72">
        <f>Q650/M650*100</f>
        <v>0</v>
      </c>
      <c r="S650" s="49">
        <f>M650-Q650</f>
        <v>1127500</v>
      </c>
      <c r="T650" s="49">
        <v>0</v>
      </c>
      <c r="U650" s="49">
        <f t="shared" si="138"/>
        <v>1127500</v>
      </c>
      <c r="V650" s="49">
        <f t="shared" si="146"/>
        <v>1127500</v>
      </c>
      <c r="W650" s="49">
        <v>1090000</v>
      </c>
      <c r="X650" s="49"/>
      <c r="Y650" s="49"/>
      <c r="Z650" s="49"/>
      <c r="AA650" s="49">
        <v>0</v>
      </c>
      <c r="AB650" s="49">
        <v>1127500</v>
      </c>
      <c r="AC650" s="49">
        <f t="shared" si="137"/>
        <v>0</v>
      </c>
      <c r="AD650" s="49">
        <f>AA650+T650+M650</f>
        <v>1127500</v>
      </c>
      <c r="AE650" s="49"/>
      <c r="AF650" s="49"/>
      <c r="AG650" s="49">
        <v>0</v>
      </c>
      <c r="AH650" s="49"/>
      <c r="AI650" s="49">
        <v>0</v>
      </c>
      <c r="AJ650" s="49">
        <v>0</v>
      </c>
      <c r="AK650" s="49">
        <f>Z650+Y650+X650+W650+N650+AG650+AE650+AJ650+AI650+AH650</f>
        <v>1090000</v>
      </c>
      <c r="AL650" s="49">
        <f>AK650/AD650*100</f>
        <v>96.674057649667418</v>
      </c>
      <c r="AM650" s="49"/>
      <c r="AN650" s="49"/>
      <c r="AO650" s="49"/>
      <c r="AP650" s="49"/>
      <c r="AQ650" s="49">
        <f>AK650+AM650+AN650+AO650+AP650</f>
        <v>1090000</v>
      </c>
      <c r="AR650" s="49">
        <f>AQ650/AB650*100</f>
        <v>96.674057649667418</v>
      </c>
      <c r="AS650" s="49">
        <f t="shared" si="136"/>
        <v>37500</v>
      </c>
      <c r="AT650" s="49">
        <v>3091500</v>
      </c>
      <c r="AU650" s="49">
        <f t="shared" si="147"/>
        <v>4219000</v>
      </c>
      <c r="AV650" s="49">
        <f t="shared" si="148"/>
        <v>1090000</v>
      </c>
      <c r="AW650" s="72">
        <f t="shared" si="149"/>
        <v>25.835506044086276</v>
      </c>
      <c r="AX650" s="49">
        <f t="shared" si="150"/>
        <v>3129000</v>
      </c>
      <c r="AY650" s="49">
        <f t="shared" si="134"/>
        <v>3.325942350332594</v>
      </c>
      <c r="AZ650" s="73">
        <f t="shared" si="135"/>
        <v>1090000</v>
      </c>
    </row>
    <row r="651" spans="1:52" ht="20.100000000000001" hidden="1" customHeight="1">
      <c r="A651" s="68"/>
      <c r="B651" s="69"/>
      <c r="C651" s="240" t="s">
        <v>864</v>
      </c>
      <c r="D651" s="240"/>
      <c r="E651" s="241"/>
      <c r="F651" s="70"/>
      <c r="G651" s="71"/>
      <c r="H651" s="71"/>
      <c r="I651" s="240" t="s">
        <v>402</v>
      </c>
      <c r="J651" s="240"/>
      <c r="K651" s="241"/>
      <c r="L651" s="49"/>
      <c r="M651" s="49"/>
      <c r="N651" s="49"/>
      <c r="O651" s="49"/>
      <c r="P651" s="49"/>
      <c r="Q651" s="49"/>
      <c r="R651" s="72"/>
      <c r="S651" s="49"/>
      <c r="T651" s="49">
        <v>0</v>
      </c>
      <c r="U651" s="49">
        <f t="shared" si="138"/>
        <v>0</v>
      </c>
      <c r="V651" s="49">
        <f t="shared" si="146"/>
        <v>0</v>
      </c>
      <c r="W651" s="49"/>
      <c r="X651" s="49"/>
      <c r="Y651" s="49"/>
      <c r="Z651" s="49"/>
      <c r="AA651" s="49">
        <v>0</v>
      </c>
      <c r="AB651" s="49"/>
      <c r="AC651" s="49">
        <f t="shared" si="137"/>
        <v>0</v>
      </c>
      <c r="AD651" s="49"/>
      <c r="AE651" s="49"/>
      <c r="AF651" s="49"/>
      <c r="AG651" s="49"/>
      <c r="AH651" s="49"/>
      <c r="AI651" s="49"/>
      <c r="AJ651" s="49"/>
      <c r="AK651" s="49"/>
      <c r="AL651" s="49"/>
      <c r="AM651" s="49"/>
      <c r="AN651" s="49"/>
      <c r="AO651" s="49"/>
      <c r="AP651" s="49"/>
      <c r="AQ651" s="49"/>
      <c r="AR651" s="49"/>
      <c r="AS651" s="49"/>
      <c r="AT651" s="49"/>
      <c r="AU651" s="49"/>
      <c r="AV651" s="49"/>
      <c r="AW651" s="49"/>
      <c r="AX651" s="49"/>
      <c r="AY651" s="49"/>
      <c r="AZ651" s="73">
        <f t="shared" si="135"/>
        <v>0</v>
      </c>
    </row>
    <row r="652" spans="1:52" ht="20.100000000000001" hidden="1" customHeight="1">
      <c r="A652" s="68"/>
      <c r="B652" s="69"/>
      <c r="C652" s="240" t="s">
        <v>865</v>
      </c>
      <c r="D652" s="240"/>
      <c r="E652" s="241"/>
      <c r="F652" s="70"/>
      <c r="G652" s="71"/>
      <c r="H652" s="71"/>
      <c r="I652" s="71"/>
      <c r="J652" s="240" t="s">
        <v>404</v>
      </c>
      <c r="K652" s="241"/>
      <c r="L652" s="49">
        <v>200000</v>
      </c>
      <c r="M652" s="49">
        <v>200000</v>
      </c>
      <c r="N652" s="49">
        <v>200000</v>
      </c>
      <c r="O652" s="49"/>
      <c r="P652" s="49"/>
      <c r="Q652" s="49">
        <f>SUM(N652:P652)</f>
        <v>200000</v>
      </c>
      <c r="R652" s="72">
        <f>Q652/M652*100</f>
        <v>100</v>
      </c>
      <c r="S652" s="49">
        <f>M652-Q652</f>
        <v>0</v>
      </c>
      <c r="T652" s="49">
        <v>0</v>
      </c>
      <c r="U652" s="49">
        <f t="shared" si="138"/>
        <v>200000</v>
      </c>
      <c r="V652" s="49">
        <f t="shared" si="146"/>
        <v>0</v>
      </c>
      <c r="W652" s="49"/>
      <c r="X652" s="49"/>
      <c r="Y652" s="49"/>
      <c r="Z652" s="49"/>
      <c r="AA652" s="49">
        <v>0</v>
      </c>
      <c r="AB652" s="49">
        <v>200000</v>
      </c>
      <c r="AC652" s="49">
        <f t="shared" si="137"/>
        <v>0</v>
      </c>
      <c r="AD652" s="49">
        <f>AA652+T652+M652</f>
        <v>200000</v>
      </c>
      <c r="AE652" s="49"/>
      <c r="AF652" s="49"/>
      <c r="AG652" s="49"/>
      <c r="AH652" s="49"/>
      <c r="AI652" s="49"/>
      <c r="AJ652" s="49"/>
      <c r="AK652" s="49">
        <f>Z652+Y652+X652+W652+N652+AG652+AE652+AJ652+AI652+AH652</f>
        <v>200000</v>
      </c>
      <c r="AL652" s="49">
        <f>AK652/AD652*100</f>
        <v>100</v>
      </c>
      <c r="AM652" s="49"/>
      <c r="AN652" s="49"/>
      <c r="AO652" s="49"/>
      <c r="AP652" s="49"/>
      <c r="AQ652" s="49">
        <f>AK652+AM652+AN652+AO652+AP652</f>
        <v>200000</v>
      </c>
      <c r="AR652" s="49">
        <f>AQ652/AB652*100</f>
        <v>100</v>
      </c>
      <c r="AS652" s="49">
        <f t="shared" si="136"/>
        <v>0</v>
      </c>
      <c r="AT652" s="49">
        <v>3091500</v>
      </c>
      <c r="AU652" s="49">
        <f t="shared" si="147"/>
        <v>3291500</v>
      </c>
      <c r="AV652" s="49">
        <f t="shared" si="148"/>
        <v>200000</v>
      </c>
      <c r="AW652" s="72">
        <f t="shared" si="149"/>
        <v>6.0762570256721862</v>
      </c>
      <c r="AX652" s="49">
        <f t="shared" si="150"/>
        <v>3091500</v>
      </c>
      <c r="AY652" s="49">
        <f t="shared" si="134"/>
        <v>0</v>
      </c>
      <c r="AZ652" s="73">
        <f t="shared" si="135"/>
        <v>200000</v>
      </c>
    </row>
    <row r="653" spans="1:52" ht="20.100000000000001" customHeight="1">
      <c r="A653" s="62">
        <v>38</v>
      </c>
      <c r="B653" s="63"/>
      <c r="C653" s="242" t="s">
        <v>866</v>
      </c>
      <c r="D653" s="242"/>
      <c r="E653" s="243"/>
      <c r="F653" s="64"/>
      <c r="G653" s="244" t="s">
        <v>867</v>
      </c>
      <c r="H653" s="244"/>
      <c r="I653" s="244"/>
      <c r="J653" s="244"/>
      <c r="K653" s="245"/>
      <c r="L653" s="65">
        <f>SUM(L656:L675)</f>
        <v>339481000</v>
      </c>
      <c r="M653" s="65">
        <f>SUM(M656:M675)</f>
        <v>51849000</v>
      </c>
      <c r="N653" s="65">
        <f>SUM(N656:N675)</f>
        <v>43914375</v>
      </c>
      <c r="O653" s="65">
        <f>SUM(O656:O675)</f>
        <v>0</v>
      </c>
      <c r="P653" s="65">
        <f>SUM(P656:P675)</f>
        <v>0</v>
      </c>
      <c r="Q653" s="65">
        <f>SUM(N653:P653)</f>
        <v>43914375</v>
      </c>
      <c r="R653" s="66">
        <f>Q653/M653*100</f>
        <v>84.696667245269921</v>
      </c>
      <c r="S653" s="65">
        <f>M653-Q653</f>
        <v>7934625</v>
      </c>
      <c r="T653" s="65">
        <f>SUM(T656:T675)</f>
        <v>204015000</v>
      </c>
      <c r="U653" s="65">
        <f>T653+M653</f>
        <v>255864000</v>
      </c>
      <c r="V653" s="65">
        <f>T653+S653</f>
        <v>211949625</v>
      </c>
      <c r="W653" s="65">
        <f>SUM(W656:W675)</f>
        <v>2250000</v>
      </c>
      <c r="X653" s="65">
        <f>SUM(X656:X675)</f>
        <v>0</v>
      </c>
      <c r="Y653" s="65">
        <f>SUM(Y656:Y675)</f>
        <v>141408250</v>
      </c>
      <c r="Z653" s="65"/>
      <c r="AA653" s="65">
        <f>SUM(AA656:AA675)</f>
        <v>62381500</v>
      </c>
      <c r="AB653" s="65">
        <f>SUM(AB656:AB675)</f>
        <v>339481000</v>
      </c>
      <c r="AC653" s="65">
        <f t="shared" si="137"/>
        <v>0</v>
      </c>
      <c r="AD653" s="65">
        <f>AA653+T653+M653</f>
        <v>318245500</v>
      </c>
      <c r="AE653" s="65">
        <f t="shared" ref="AE653:AK653" si="151">SUM(AE656:AE675)</f>
        <v>0</v>
      </c>
      <c r="AF653" s="65">
        <f t="shared" si="151"/>
        <v>0</v>
      </c>
      <c r="AG653" s="65">
        <f t="shared" si="151"/>
        <v>3080000</v>
      </c>
      <c r="AH653" s="65">
        <f t="shared" si="151"/>
        <v>0</v>
      </c>
      <c r="AI653" s="65">
        <f t="shared" si="151"/>
        <v>0</v>
      </c>
      <c r="AJ653" s="65">
        <f t="shared" si="151"/>
        <v>37203160</v>
      </c>
      <c r="AK653" s="65">
        <f t="shared" si="151"/>
        <v>226481785</v>
      </c>
      <c r="AL653" s="65">
        <f>AK653/AB653*100</f>
        <v>66.714126858351435</v>
      </c>
      <c r="AM653" s="65">
        <f>SUM(AM656:AM675)</f>
        <v>0</v>
      </c>
      <c r="AN653" s="65">
        <f>SUM(AN656:AN675)</f>
        <v>0</v>
      </c>
      <c r="AO653" s="42">
        <f>SUM(AO656:AO675)</f>
        <v>43094750</v>
      </c>
      <c r="AP653" s="65">
        <f>SUM(AP656:AP675)</f>
        <v>0</v>
      </c>
      <c r="AQ653" s="65">
        <f>AK653+AM653+AN653+AO653+AP653</f>
        <v>269576535</v>
      </c>
      <c r="AR653" s="65">
        <f>AQ653/AB653*100</f>
        <v>79.40843081056083</v>
      </c>
      <c r="AS653" s="65">
        <f>AB653-AQ653</f>
        <v>69904465</v>
      </c>
      <c r="AT653" s="65">
        <f>SUM(AT656:AT662)</f>
        <v>12366000</v>
      </c>
      <c r="AU653" s="65">
        <f>AT653+U653</f>
        <v>268230000</v>
      </c>
      <c r="AV653" s="65">
        <f>AK653</f>
        <v>226481785</v>
      </c>
      <c r="AW653" s="66">
        <f>AV653/AU653*100</f>
        <v>84.435665287253485</v>
      </c>
      <c r="AX653" s="65">
        <f>AU653-AV653</f>
        <v>41748215</v>
      </c>
      <c r="AY653" s="65">
        <f>AS653/AB653*100</f>
        <v>20.591569189439173</v>
      </c>
      <c r="AZ653" s="67">
        <f t="shared" si="135"/>
        <v>226481785</v>
      </c>
    </row>
    <row r="654" spans="1:52" ht="20.100000000000001" hidden="1" customHeight="1">
      <c r="A654" s="83"/>
      <c r="B654" s="69"/>
      <c r="C654" s="240" t="s">
        <v>868</v>
      </c>
      <c r="D654" s="240"/>
      <c r="E654" s="241"/>
      <c r="F654" s="70"/>
      <c r="G654" s="71"/>
      <c r="H654" s="240" t="s">
        <v>10</v>
      </c>
      <c r="I654" s="240"/>
      <c r="J654" s="240"/>
      <c r="K654" s="241"/>
      <c r="L654" s="49"/>
      <c r="M654" s="49"/>
      <c r="N654" s="49"/>
      <c r="O654" s="49"/>
      <c r="P654" s="49"/>
      <c r="Q654" s="49"/>
      <c r="R654" s="72"/>
      <c r="S654" s="49"/>
      <c r="T654" s="49"/>
      <c r="U654" s="49"/>
      <c r="V654" s="49"/>
      <c r="W654" s="49"/>
      <c r="X654" s="49"/>
      <c r="Y654" s="49"/>
      <c r="Z654" s="49"/>
      <c r="AA654" s="49"/>
      <c r="AB654" s="49"/>
      <c r="AC654" s="49">
        <f t="shared" si="137"/>
        <v>0</v>
      </c>
      <c r="AD654" s="49"/>
      <c r="AE654" s="49"/>
      <c r="AF654" s="49"/>
      <c r="AG654" s="49"/>
      <c r="AH654" s="49"/>
      <c r="AI654" s="49"/>
      <c r="AJ654" s="49"/>
      <c r="AK654" s="49"/>
      <c r="AL654" s="49"/>
      <c r="AM654" s="49"/>
      <c r="AN654" s="49"/>
      <c r="AO654" s="49"/>
      <c r="AP654" s="49"/>
      <c r="AQ654" s="49"/>
      <c r="AR654" s="49"/>
      <c r="AS654" s="49"/>
      <c r="AT654" s="49"/>
      <c r="AU654" s="49"/>
      <c r="AV654" s="49"/>
      <c r="AW654" s="49"/>
      <c r="AX654" s="49"/>
      <c r="AY654" s="49"/>
      <c r="AZ654" s="73">
        <f t="shared" si="135"/>
        <v>0</v>
      </c>
    </row>
    <row r="655" spans="1:52" ht="20.100000000000001" hidden="1" customHeight="1">
      <c r="A655" s="83"/>
      <c r="B655" s="69"/>
      <c r="C655" s="240" t="s">
        <v>869</v>
      </c>
      <c r="D655" s="240"/>
      <c r="E655" s="241"/>
      <c r="F655" s="70"/>
      <c r="G655" s="71"/>
      <c r="H655" s="71"/>
      <c r="I655" s="240" t="s">
        <v>177</v>
      </c>
      <c r="J655" s="240"/>
      <c r="K655" s="241"/>
      <c r="L655" s="49"/>
      <c r="M655" s="49"/>
      <c r="N655" s="49"/>
      <c r="O655" s="49"/>
      <c r="P655" s="49"/>
      <c r="Q655" s="49"/>
      <c r="R655" s="72"/>
      <c r="S655" s="49"/>
      <c r="T655" s="49"/>
      <c r="U655" s="49"/>
      <c r="V655" s="49"/>
      <c r="W655" s="49"/>
      <c r="X655" s="49"/>
      <c r="Y655" s="49"/>
      <c r="Z655" s="49"/>
      <c r="AA655" s="49"/>
      <c r="AB655" s="49"/>
      <c r="AC655" s="49">
        <f t="shared" si="137"/>
        <v>0</v>
      </c>
      <c r="AD655" s="49"/>
      <c r="AE655" s="49"/>
      <c r="AF655" s="49"/>
      <c r="AG655" s="49"/>
      <c r="AH655" s="49"/>
      <c r="AI655" s="49"/>
      <c r="AJ655" s="49"/>
      <c r="AK655" s="49"/>
      <c r="AL655" s="49"/>
      <c r="AM655" s="49"/>
      <c r="AN655" s="49"/>
      <c r="AO655" s="49"/>
      <c r="AP655" s="49"/>
      <c r="AQ655" s="49"/>
      <c r="AR655" s="49"/>
      <c r="AS655" s="49"/>
      <c r="AT655" s="49"/>
      <c r="AU655" s="49"/>
      <c r="AV655" s="49"/>
      <c r="AW655" s="49"/>
      <c r="AX655" s="49"/>
      <c r="AY655" s="49"/>
      <c r="AZ655" s="73">
        <f t="shared" si="135"/>
        <v>0</v>
      </c>
    </row>
    <row r="656" spans="1:52" ht="20.100000000000001" hidden="1" customHeight="1">
      <c r="A656" s="83"/>
      <c r="B656" s="69"/>
      <c r="C656" s="240" t="s">
        <v>870</v>
      </c>
      <c r="D656" s="240"/>
      <c r="E656" s="241"/>
      <c r="F656" s="70"/>
      <c r="G656" s="71"/>
      <c r="H656" s="71"/>
      <c r="I656" s="71"/>
      <c r="J656" s="240" t="s">
        <v>283</v>
      </c>
      <c r="K656" s="241"/>
      <c r="L656" s="49">
        <v>38875000</v>
      </c>
      <c r="M656" s="49">
        <v>0</v>
      </c>
      <c r="N656" s="49"/>
      <c r="O656" s="49"/>
      <c r="P656" s="49"/>
      <c r="Q656" s="49">
        <f>SUM(N656:P656)</f>
        <v>0</v>
      </c>
      <c r="R656" s="72"/>
      <c r="S656" s="49">
        <f>M656-Q656</f>
        <v>0</v>
      </c>
      <c r="T656" s="49">
        <v>23325000</v>
      </c>
      <c r="U656" s="49">
        <f>T656+M656</f>
        <v>23325000</v>
      </c>
      <c r="V656" s="49">
        <f>T656+S656</f>
        <v>23325000</v>
      </c>
      <c r="W656" s="49"/>
      <c r="X656" s="49"/>
      <c r="Y656" s="49">
        <v>15350000</v>
      </c>
      <c r="Z656" s="49"/>
      <c r="AA656" s="49">
        <v>15550000</v>
      </c>
      <c r="AB656" s="49">
        <v>38875000</v>
      </c>
      <c r="AC656" s="49">
        <f t="shared" si="137"/>
        <v>0</v>
      </c>
      <c r="AD656" s="49">
        <f>AA656+T656+M656</f>
        <v>38875000</v>
      </c>
      <c r="AE656" s="49"/>
      <c r="AF656" s="49"/>
      <c r="AG656" s="49"/>
      <c r="AH656" s="49"/>
      <c r="AI656" s="49"/>
      <c r="AJ656" s="49">
        <v>22800000</v>
      </c>
      <c r="AK656" s="49">
        <f>Z656+Y656+X656+W656+N656+AG656+AE656+AJ656+AI656+AH656</f>
        <v>38150000</v>
      </c>
      <c r="AL656" s="49">
        <f>AK656/AD656*100</f>
        <v>98.135048231511263</v>
      </c>
      <c r="AM656" s="49"/>
      <c r="AN656" s="49"/>
      <c r="AO656" s="49"/>
      <c r="AP656" s="49"/>
      <c r="AQ656" s="49">
        <f>AK656+AM656+AN656+AO656+AP656</f>
        <v>38150000</v>
      </c>
      <c r="AR656" s="49">
        <f>AQ656/AB656*100</f>
        <v>98.135048231511263</v>
      </c>
      <c r="AS656" s="49">
        <f t="shared" si="136"/>
        <v>725000</v>
      </c>
      <c r="AT656" s="49">
        <v>3091500</v>
      </c>
      <c r="AU656" s="49">
        <f>AT656+U656</f>
        <v>26416500</v>
      </c>
      <c r="AV656" s="49">
        <f>AK656</f>
        <v>38150000</v>
      </c>
      <c r="AW656" s="72">
        <f>AV656/AU656*100</f>
        <v>144.41731493574093</v>
      </c>
      <c r="AX656" s="49">
        <f>AU656-AV656</f>
        <v>-11733500</v>
      </c>
      <c r="AY656" s="49">
        <f t="shared" si="134"/>
        <v>1.864951768488746</v>
      </c>
      <c r="AZ656" s="73">
        <f t="shared" si="135"/>
        <v>38150000</v>
      </c>
    </row>
    <row r="657" spans="1:54" ht="20.100000000000001" hidden="1" customHeight="1">
      <c r="A657" s="83"/>
      <c r="B657" s="69"/>
      <c r="C657" s="240" t="s">
        <v>871</v>
      </c>
      <c r="D657" s="240"/>
      <c r="E657" s="241"/>
      <c r="F657" s="70"/>
      <c r="G657" s="71"/>
      <c r="H657" s="71"/>
      <c r="I657" s="240" t="s">
        <v>181</v>
      </c>
      <c r="J657" s="240"/>
      <c r="K657" s="241"/>
      <c r="L657" s="49"/>
      <c r="M657" s="49"/>
      <c r="N657" s="49"/>
      <c r="O657" s="49"/>
      <c r="P657" s="49"/>
      <c r="Q657" s="49"/>
      <c r="R657" s="72"/>
      <c r="S657" s="49"/>
      <c r="T657" s="49"/>
      <c r="U657" s="49"/>
      <c r="V657" s="49"/>
      <c r="W657" s="49"/>
      <c r="X657" s="49"/>
      <c r="Y657" s="49"/>
      <c r="Z657" s="49"/>
      <c r="AA657" s="49"/>
      <c r="AB657" s="49"/>
      <c r="AC657" s="49">
        <f t="shared" si="137"/>
        <v>0</v>
      </c>
      <c r="AD657" s="49"/>
      <c r="AE657" s="49"/>
      <c r="AF657" s="49"/>
      <c r="AG657" s="49"/>
      <c r="AH657" s="49"/>
      <c r="AI657" s="49"/>
      <c r="AJ657" s="49"/>
      <c r="AK657" s="49"/>
      <c r="AL657" s="49"/>
      <c r="AM657" s="49"/>
      <c r="AN657" s="49"/>
      <c r="AO657" s="49"/>
      <c r="AP657" s="49"/>
      <c r="AQ657" s="49"/>
      <c r="AR657" s="49"/>
      <c r="AS657" s="49"/>
      <c r="AT657" s="49"/>
      <c r="AU657" s="49"/>
      <c r="AV657" s="49"/>
      <c r="AW657" s="49"/>
      <c r="AX657" s="49"/>
      <c r="AY657" s="49"/>
      <c r="AZ657" s="73">
        <f t="shared" si="135"/>
        <v>0</v>
      </c>
    </row>
    <row r="658" spans="1:54" ht="20.100000000000001" hidden="1" customHeight="1">
      <c r="A658" s="83"/>
      <c r="B658" s="69"/>
      <c r="C658" s="240" t="s">
        <v>872</v>
      </c>
      <c r="D658" s="240"/>
      <c r="E658" s="241"/>
      <c r="F658" s="70"/>
      <c r="G658" s="71"/>
      <c r="H658" s="71"/>
      <c r="I658" s="71"/>
      <c r="J658" s="240" t="s">
        <v>183</v>
      </c>
      <c r="K658" s="241"/>
      <c r="L658" s="49">
        <v>2760000</v>
      </c>
      <c r="M658" s="49">
        <v>0</v>
      </c>
      <c r="N658" s="49"/>
      <c r="O658" s="49"/>
      <c r="P658" s="49"/>
      <c r="Q658" s="49">
        <f>SUM(N658:P658)</f>
        <v>0</v>
      </c>
      <c r="R658" s="72"/>
      <c r="S658" s="49">
        <f>M658-Q658</f>
        <v>0</v>
      </c>
      <c r="T658" s="49">
        <v>1380000</v>
      </c>
      <c r="U658" s="49">
        <f>T658+M658</f>
        <v>1380000</v>
      </c>
      <c r="V658" s="49">
        <f>T658+S658</f>
        <v>1380000</v>
      </c>
      <c r="W658" s="49"/>
      <c r="X658" s="49"/>
      <c r="Y658" s="49">
        <v>1374000</v>
      </c>
      <c r="Z658" s="49"/>
      <c r="AA658" s="49">
        <v>1380000</v>
      </c>
      <c r="AB658" s="49">
        <v>2760000</v>
      </c>
      <c r="AC658" s="49">
        <f>AB658-L658</f>
        <v>0</v>
      </c>
      <c r="AD658" s="49">
        <f>AA658+T658+M658</f>
        <v>2760000</v>
      </c>
      <c r="AE658" s="49"/>
      <c r="AF658" s="49"/>
      <c r="AG658" s="49"/>
      <c r="AH658" s="49"/>
      <c r="AI658" s="49"/>
      <c r="AJ658" s="49">
        <v>1377500</v>
      </c>
      <c r="AK658" s="49">
        <f>Z658+Y658+X658+W658+N658+AG658+AE658+AJ658+AI658+AH658</f>
        <v>2751500</v>
      </c>
      <c r="AL658" s="49">
        <f>AK658/AD658*100</f>
        <v>99.692028985507235</v>
      </c>
      <c r="AM658" s="49"/>
      <c r="AN658" s="49"/>
      <c r="AO658" s="49"/>
      <c r="AP658" s="49"/>
      <c r="AQ658" s="49">
        <f>AK658+AM658+AN658+AO658+AP658</f>
        <v>2751500</v>
      </c>
      <c r="AR658" s="49">
        <f>AQ658/AB658*100</f>
        <v>99.692028985507235</v>
      </c>
      <c r="AS658" s="49">
        <f t="shared" si="136"/>
        <v>8500</v>
      </c>
      <c r="AT658" s="49">
        <v>3091500</v>
      </c>
      <c r="AU658" s="49">
        <f>AT658+U658</f>
        <v>4471500</v>
      </c>
      <c r="AV658" s="49">
        <f>AK658</f>
        <v>2751500</v>
      </c>
      <c r="AW658" s="72">
        <f>AV658/AU658*100</f>
        <v>61.534160796153415</v>
      </c>
      <c r="AX658" s="49">
        <f>AU658-AV658</f>
        <v>1720000</v>
      </c>
      <c r="AY658" s="49">
        <f t="shared" si="134"/>
        <v>0.30797101449275366</v>
      </c>
      <c r="AZ658" s="73">
        <f t="shared" si="135"/>
        <v>2751500</v>
      </c>
    </row>
    <row r="659" spans="1:54" ht="20.100000000000001" hidden="1" customHeight="1">
      <c r="A659" s="83"/>
      <c r="B659" s="69"/>
      <c r="C659" s="240" t="s">
        <v>873</v>
      </c>
      <c r="D659" s="240"/>
      <c r="E659" s="241"/>
      <c r="F659" s="70"/>
      <c r="G659" s="71"/>
      <c r="H659" s="71"/>
      <c r="I659" s="71"/>
      <c r="J659" s="240" t="s">
        <v>874</v>
      </c>
      <c r="K659" s="241"/>
      <c r="L659" s="49">
        <v>0</v>
      </c>
      <c r="M659" s="49">
        <v>0</v>
      </c>
      <c r="N659" s="49"/>
      <c r="O659" s="49"/>
      <c r="P659" s="49"/>
      <c r="Q659" s="49">
        <f>SUM(N659:P659)</f>
        <v>0</v>
      </c>
      <c r="R659" s="72"/>
      <c r="S659" s="49">
        <f>M659-Q659</f>
        <v>0</v>
      </c>
      <c r="T659" s="49">
        <v>1380000</v>
      </c>
      <c r="U659" s="49">
        <f>T659+M659</f>
        <v>1380000</v>
      </c>
      <c r="V659" s="49">
        <f>T659+S659</f>
        <v>1380000</v>
      </c>
      <c r="W659" s="49"/>
      <c r="X659" s="49"/>
      <c r="Y659" s="49">
        <v>1374000</v>
      </c>
      <c r="Z659" s="49"/>
      <c r="AA659" s="49">
        <v>1380000</v>
      </c>
      <c r="AB659" s="49">
        <v>4360000</v>
      </c>
      <c r="AC659" s="49">
        <f t="shared" si="137"/>
        <v>4360000</v>
      </c>
      <c r="AD659" s="49">
        <f>AA659+T659+M659</f>
        <v>2760000</v>
      </c>
      <c r="AE659" s="49"/>
      <c r="AF659" s="49"/>
      <c r="AG659" s="49"/>
      <c r="AH659" s="49"/>
      <c r="AI659" s="49"/>
      <c r="AJ659" s="49">
        <v>0</v>
      </c>
      <c r="AK659" s="49">
        <v>0</v>
      </c>
      <c r="AL659" s="49">
        <f>AK659/AD659*100</f>
        <v>0</v>
      </c>
      <c r="AM659" s="49"/>
      <c r="AN659" s="49"/>
      <c r="AO659" s="42">
        <v>4325000</v>
      </c>
      <c r="AP659" s="49"/>
      <c r="AQ659" s="49">
        <f>AK659+AM659+AN659+AO659+AP659</f>
        <v>4325000</v>
      </c>
      <c r="AR659" s="49">
        <f>AQ659/AB659*100</f>
        <v>99.197247706422019</v>
      </c>
      <c r="AS659" s="49">
        <f t="shared" si="136"/>
        <v>35000</v>
      </c>
      <c r="AT659" s="49">
        <v>3091500</v>
      </c>
      <c r="AU659" s="49">
        <f>AT659+U659</f>
        <v>4471500</v>
      </c>
      <c r="AV659" s="49">
        <f>AK659</f>
        <v>0</v>
      </c>
      <c r="AW659" s="72">
        <f>AV659/AU659*100</f>
        <v>0</v>
      </c>
      <c r="AX659" s="49">
        <f>AU659-AV659</f>
        <v>4471500</v>
      </c>
      <c r="AY659" s="49">
        <f t="shared" si="134"/>
        <v>0.80275229357798172</v>
      </c>
      <c r="AZ659" s="73">
        <f t="shared" si="135"/>
        <v>0</v>
      </c>
    </row>
    <row r="660" spans="1:54" ht="20.100000000000001" hidden="1" customHeight="1">
      <c r="A660" s="83"/>
      <c r="B660" s="69"/>
      <c r="C660" s="240" t="s">
        <v>875</v>
      </c>
      <c r="D660" s="240"/>
      <c r="E660" s="241"/>
      <c r="F660" s="70"/>
      <c r="G660" s="71"/>
      <c r="H660" s="240" t="s">
        <v>143</v>
      </c>
      <c r="I660" s="240"/>
      <c r="J660" s="240"/>
      <c r="K660" s="241"/>
      <c r="L660" s="49"/>
      <c r="M660" s="49"/>
      <c r="N660" s="49"/>
      <c r="O660" s="49"/>
      <c r="P660" s="49"/>
      <c r="Q660" s="49"/>
      <c r="R660" s="72"/>
      <c r="S660" s="49"/>
      <c r="T660" s="49"/>
      <c r="U660" s="49"/>
      <c r="V660" s="49"/>
      <c r="W660" s="49"/>
      <c r="X660" s="49"/>
      <c r="Y660" s="49"/>
      <c r="Z660" s="49"/>
      <c r="AA660" s="49"/>
      <c r="AB660" s="49"/>
      <c r="AC660" s="49">
        <f t="shared" si="137"/>
        <v>0</v>
      </c>
      <c r="AD660" s="49"/>
      <c r="AE660" s="49"/>
      <c r="AF660" s="49"/>
      <c r="AG660" s="49"/>
      <c r="AH660" s="49"/>
      <c r="AI660" s="49"/>
      <c r="AJ660" s="49"/>
      <c r="AK660" s="49"/>
      <c r="AL660" s="49"/>
      <c r="AM660" s="49"/>
      <c r="AN660" s="49"/>
      <c r="AO660" s="49"/>
      <c r="AP660" s="49"/>
      <c r="AQ660" s="49"/>
      <c r="AR660" s="49"/>
      <c r="AS660" s="49"/>
      <c r="AT660" s="49"/>
      <c r="AU660" s="49"/>
      <c r="AV660" s="49"/>
      <c r="AW660" s="49"/>
      <c r="AX660" s="49"/>
      <c r="AY660" s="49"/>
      <c r="AZ660" s="73">
        <f t="shared" si="135"/>
        <v>0</v>
      </c>
    </row>
    <row r="661" spans="1:54" ht="20.100000000000001" hidden="1" customHeight="1">
      <c r="A661" s="83"/>
      <c r="B661" s="69"/>
      <c r="C661" s="240" t="s">
        <v>876</v>
      </c>
      <c r="D661" s="240"/>
      <c r="E661" s="241"/>
      <c r="F661" s="70"/>
      <c r="G661" s="71"/>
      <c r="H661" s="71"/>
      <c r="I661" s="240" t="s">
        <v>145</v>
      </c>
      <c r="J661" s="240"/>
      <c r="K661" s="241"/>
      <c r="L661" s="49"/>
      <c r="M661" s="49"/>
      <c r="N661" s="49"/>
      <c r="O661" s="49"/>
      <c r="P661" s="49"/>
      <c r="Q661" s="49"/>
      <c r="R661" s="72"/>
      <c r="S661" s="49"/>
      <c r="T661" s="49"/>
      <c r="U661" s="49"/>
      <c r="V661" s="49"/>
      <c r="W661" s="49"/>
      <c r="X661" s="49"/>
      <c r="Y661" s="49"/>
      <c r="Z661" s="49"/>
      <c r="AA661" s="49"/>
      <c r="AB661" s="49"/>
      <c r="AC661" s="49">
        <f t="shared" si="137"/>
        <v>0</v>
      </c>
      <c r="AD661" s="49"/>
      <c r="AE661" s="49"/>
      <c r="AF661" s="49"/>
      <c r="AG661" s="49"/>
      <c r="AH661" s="49"/>
      <c r="AI661" s="49"/>
      <c r="AJ661" s="49"/>
      <c r="AK661" s="49"/>
      <c r="AL661" s="49"/>
      <c r="AM661" s="49"/>
      <c r="AN661" s="49"/>
      <c r="AO661" s="49"/>
      <c r="AP661" s="49"/>
      <c r="AQ661" s="49"/>
      <c r="AR661" s="49"/>
      <c r="AS661" s="49"/>
      <c r="AT661" s="49"/>
      <c r="AU661" s="49"/>
      <c r="AV661" s="49"/>
      <c r="AW661" s="49"/>
      <c r="AX661" s="49"/>
      <c r="AY661" s="49"/>
      <c r="AZ661" s="73">
        <f t="shared" si="135"/>
        <v>0</v>
      </c>
    </row>
    <row r="662" spans="1:54" ht="20.100000000000001" hidden="1" customHeight="1">
      <c r="A662" s="83"/>
      <c r="B662" s="69"/>
      <c r="C662" s="240" t="s">
        <v>877</v>
      </c>
      <c r="D662" s="240"/>
      <c r="E662" s="241"/>
      <c r="F662" s="70"/>
      <c r="G662" s="71"/>
      <c r="H662" s="71"/>
      <c r="I662" s="71"/>
      <c r="J662" s="240" t="s">
        <v>147</v>
      </c>
      <c r="K662" s="241"/>
      <c r="L662" s="49">
        <v>9984000</v>
      </c>
      <c r="M662" s="49">
        <v>5984000</v>
      </c>
      <c r="N662" s="49">
        <v>5940000</v>
      </c>
      <c r="O662" s="49"/>
      <c r="P662" s="49"/>
      <c r="Q662" s="49">
        <f>SUM(N662:P662)</f>
        <v>5940000</v>
      </c>
      <c r="R662" s="72">
        <f>Q662/M662*100</f>
        <v>99.264705882352942</v>
      </c>
      <c r="S662" s="49">
        <f>M662-Q662</f>
        <v>44000</v>
      </c>
      <c r="T662" s="49">
        <v>0</v>
      </c>
      <c r="U662" s="49">
        <f>T662+M662</f>
        <v>5984000</v>
      </c>
      <c r="V662" s="49">
        <f>T662+S662</f>
        <v>44000</v>
      </c>
      <c r="W662" s="49"/>
      <c r="X662" s="49"/>
      <c r="Y662" s="49"/>
      <c r="Z662" s="49"/>
      <c r="AA662" s="49">
        <v>4000000</v>
      </c>
      <c r="AB662" s="49">
        <v>10821000</v>
      </c>
      <c r="AC662" s="49">
        <f t="shared" si="137"/>
        <v>837000</v>
      </c>
      <c r="AD662" s="49">
        <f>AA662+T662+M662</f>
        <v>9984000</v>
      </c>
      <c r="AE662" s="49"/>
      <c r="AF662" s="49"/>
      <c r="AG662" s="49">
        <v>3080000</v>
      </c>
      <c r="AH662" s="49"/>
      <c r="AI662" s="49"/>
      <c r="AJ662" s="49">
        <v>963600</v>
      </c>
      <c r="AK662" s="49">
        <f>Z662+Y662+X662+W662+N662+AG662+AE662+AJ662+AI662+AH662</f>
        <v>9983600</v>
      </c>
      <c r="AL662" s="49">
        <f>AK662/AD662*100</f>
        <v>99.995993589743591</v>
      </c>
      <c r="AM662" s="49"/>
      <c r="AN662" s="49"/>
      <c r="AO662" s="42">
        <v>837000</v>
      </c>
      <c r="AP662" s="49"/>
      <c r="AQ662" s="49">
        <f>AK662+AM662+AN662+AO662+AP662</f>
        <v>10820600</v>
      </c>
      <c r="AR662" s="49">
        <f>AQ662/AB662*100</f>
        <v>99.996303483966358</v>
      </c>
      <c r="AS662" s="49">
        <f t="shared" si="136"/>
        <v>400</v>
      </c>
      <c r="AT662" s="49">
        <v>3091500</v>
      </c>
      <c r="AU662" s="49">
        <f>AT662+U662</f>
        <v>9075500</v>
      </c>
      <c r="AV662" s="49">
        <f>AK662</f>
        <v>9983600</v>
      </c>
      <c r="AW662" s="72">
        <f>AV662/AU662*100</f>
        <v>110.00606027216131</v>
      </c>
      <c r="AX662" s="49">
        <f>AU662-AV662</f>
        <v>-908100</v>
      </c>
      <c r="AY662" s="49">
        <f t="shared" si="134"/>
        <v>3.6965160336382961E-3</v>
      </c>
      <c r="AZ662" s="73">
        <f t="shared" si="135"/>
        <v>9983600</v>
      </c>
    </row>
    <row r="663" spans="1:54" ht="20.100000000000001" hidden="1" customHeight="1">
      <c r="A663" s="83"/>
      <c r="B663" s="69"/>
      <c r="C663" s="240" t="s">
        <v>878</v>
      </c>
      <c r="D663" s="240"/>
      <c r="E663" s="241"/>
      <c r="F663" s="70"/>
      <c r="G663" s="71"/>
      <c r="H663" s="71"/>
      <c r="I663" s="240" t="s">
        <v>163</v>
      </c>
      <c r="J663" s="240"/>
      <c r="K663" s="241"/>
      <c r="L663" s="49"/>
      <c r="M663" s="49"/>
      <c r="N663" s="49"/>
      <c r="O663" s="49"/>
      <c r="P663" s="49"/>
      <c r="Q663" s="49"/>
      <c r="R663" s="72"/>
      <c r="S663" s="49"/>
      <c r="T663" s="49"/>
      <c r="U663" s="49"/>
      <c r="V663" s="49"/>
      <c r="W663" s="49"/>
      <c r="X663" s="49"/>
      <c r="Y663" s="49"/>
      <c r="Z663" s="49"/>
      <c r="AA663" s="49"/>
      <c r="AB663" s="49"/>
      <c r="AC663" s="49">
        <f t="shared" si="137"/>
        <v>0</v>
      </c>
      <c r="AD663" s="49"/>
      <c r="AE663" s="49"/>
      <c r="AF663" s="49"/>
      <c r="AG663" s="49"/>
      <c r="AH663" s="49"/>
      <c r="AI663" s="49"/>
      <c r="AJ663" s="49"/>
      <c r="AK663" s="49"/>
      <c r="AL663" s="49"/>
      <c r="AM663" s="49"/>
      <c r="AN663" s="49"/>
      <c r="AO663" s="49"/>
      <c r="AP663" s="49"/>
      <c r="AQ663" s="49"/>
      <c r="AR663" s="49"/>
      <c r="AS663" s="49"/>
      <c r="AT663" s="49"/>
      <c r="AU663" s="49"/>
      <c r="AV663" s="49"/>
      <c r="AW663" s="49"/>
      <c r="AX663" s="49"/>
      <c r="AY663" s="49"/>
      <c r="AZ663" s="73">
        <f t="shared" si="135"/>
        <v>0</v>
      </c>
    </row>
    <row r="664" spans="1:54" ht="20.100000000000001" hidden="1" customHeight="1">
      <c r="A664" s="83"/>
      <c r="B664" s="69"/>
      <c r="C664" s="240" t="s">
        <v>879</v>
      </c>
      <c r="D664" s="240"/>
      <c r="E664" s="241"/>
      <c r="F664" s="70"/>
      <c r="G664" s="71"/>
      <c r="H664" s="71"/>
      <c r="I664" s="71"/>
      <c r="J664" s="240" t="s">
        <v>349</v>
      </c>
      <c r="K664" s="241"/>
      <c r="L664" s="49">
        <v>920000</v>
      </c>
      <c r="M664" s="49">
        <v>150000</v>
      </c>
      <c r="N664" s="49">
        <v>150000</v>
      </c>
      <c r="O664" s="49"/>
      <c r="P664" s="49"/>
      <c r="Q664" s="49">
        <f>SUM(N664:P664)</f>
        <v>150000</v>
      </c>
      <c r="R664" s="72">
        <f>Q664/M664*100</f>
        <v>100</v>
      </c>
      <c r="S664" s="49">
        <f>M664-Q664</f>
        <v>0</v>
      </c>
      <c r="T664" s="49">
        <v>0</v>
      </c>
      <c r="U664" s="49">
        <f>T664+M664</f>
        <v>150000</v>
      </c>
      <c r="V664" s="49">
        <f>T664+S664</f>
        <v>0</v>
      </c>
      <c r="W664" s="49"/>
      <c r="X664" s="49"/>
      <c r="Y664" s="49"/>
      <c r="Z664" s="49"/>
      <c r="AA664" s="49">
        <v>770000</v>
      </c>
      <c r="AB664" s="49">
        <v>500000</v>
      </c>
      <c r="AC664" s="49">
        <f t="shared" si="137"/>
        <v>-420000</v>
      </c>
      <c r="AD664" s="49">
        <f>AA664+T664+M664</f>
        <v>920000</v>
      </c>
      <c r="AE664" s="49"/>
      <c r="AF664" s="49"/>
      <c r="AG664" s="49"/>
      <c r="AH664" s="49"/>
      <c r="AI664" s="49"/>
      <c r="AJ664" s="49"/>
      <c r="AK664" s="49">
        <f>Z664+Y664+X664+W664+N664+AG664+AE664+AJ664+AI664+AH664</f>
        <v>150000</v>
      </c>
      <c r="AL664" s="49">
        <f>AK664/AD664*100</f>
        <v>16.304347826086957</v>
      </c>
      <c r="AM664" s="49"/>
      <c r="AN664" s="49"/>
      <c r="AO664" s="49"/>
      <c r="AP664" s="49"/>
      <c r="AQ664" s="49">
        <f>AK664+AM664+AN664+AO664+AP664</f>
        <v>150000</v>
      </c>
      <c r="AR664" s="49">
        <f>AQ664/AB664*100</f>
        <v>30</v>
      </c>
      <c r="AS664" s="49">
        <f t="shared" si="136"/>
        <v>350000</v>
      </c>
      <c r="AT664" s="49">
        <v>3091500</v>
      </c>
      <c r="AU664" s="49">
        <f>AT664+U664</f>
        <v>3241500</v>
      </c>
      <c r="AV664" s="49">
        <f>AK664</f>
        <v>150000</v>
      </c>
      <c r="AW664" s="72">
        <f>AV664/AU664*100</f>
        <v>4.6274872744099955</v>
      </c>
      <c r="AX664" s="49">
        <f>AU664-AV664</f>
        <v>3091500</v>
      </c>
      <c r="AY664" s="49">
        <f t="shared" si="134"/>
        <v>70</v>
      </c>
      <c r="AZ664" s="73">
        <f t="shared" si="135"/>
        <v>150000</v>
      </c>
    </row>
    <row r="665" spans="1:54" ht="20.100000000000001" hidden="1" customHeight="1">
      <c r="A665" s="83"/>
      <c r="B665" s="69"/>
      <c r="C665" s="240" t="s">
        <v>880</v>
      </c>
      <c r="D665" s="240"/>
      <c r="E665" s="241"/>
      <c r="F665" s="70"/>
      <c r="G665" s="71"/>
      <c r="H665" s="71"/>
      <c r="I665" s="71"/>
      <c r="J665" s="240" t="s">
        <v>231</v>
      </c>
      <c r="K665" s="241"/>
      <c r="L665" s="49">
        <v>175655000</v>
      </c>
      <c r="M665" s="49">
        <v>19650000</v>
      </c>
      <c r="N665" s="49">
        <v>19650000</v>
      </c>
      <c r="O665" s="49"/>
      <c r="P665" s="49"/>
      <c r="Q665" s="49">
        <f>SUM(N665:P665)</f>
        <v>19650000</v>
      </c>
      <c r="R665" s="72">
        <f>Q665/M665*100</f>
        <v>100</v>
      </c>
      <c r="S665" s="49">
        <f>M665-Q665</f>
        <v>0</v>
      </c>
      <c r="T665" s="49">
        <v>156005000</v>
      </c>
      <c r="U665" s="49">
        <f>T665+M665</f>
        <v>175655000</v>
      </c>
      <c r="V665" s="49">
        <f>T665+S665</f>
        <v>156005000</v>
      </c>
      <c r="W665" s="49"/>
      <c r="X665" s="49"/>
      <c r="Y665" s="49">
        <v>113325000</v>
      </c>
      <c r="Z665" s="49"/>
      <c r="AA665" s="49">
        <v>0</v>
      </c>
      <c r="AB665" s="49">
        <v>132975000</v>
      </c>
      <c r="AC665" s="49">
        <f t="shared" si="137"/>
        <v>-42680000</v>
      </c>
      <c r="AD665" s="49">
        <f>AA665+T665+M665</f>
        <v>175655000</v>
      </c>
      <c r="AE665" s="49"/>
      <c r="AF665" s="49"/>
      <c r="AG665" s="49"/>
      <c r="AH665" s="49"/>
      <c r="AI665" s="49"/>
      <c r="AJ665" s="49"/>
      <c r="AK665" s="49">
        <f>Z665+Y665+X665+W665+N665+AG665+AE665+AJ665+AI665+AH665</f>
        <v>132975000</v>
      </c>
      <c r="AL665" s="49">
        <f>AK665/AD665*100</f>
        <v>75.702371125217056</v>
      </c>
      <c r="AM665" s="49"/>
      <c r="AN665" s="49"/>
      <c r="AO665" s="49"/>
      <c r="AP665" s="49"/>
      <c r="AQ665" s="49">
        <f>AK665+AM665+AN665+AO665+AP665</f>
        <v>132975000</v>
      </c>
      <c r="AR665" s="49">
        <f>AQ665/AB665*100</f>
        <v>100</v>
      </c>
      <c r="AS665" s="49">
        <f t="shared" si="136"/>
        <v>0</v>
      </c>
      <c r="AT665" s="49">
        <v>3091500</v>
      </c>
      <c r="AU665" s="49">
        <f>AT665+U665</f>
        <v>178746500</v>
      </c>
      <c r="AV665" s="49">
        <f>AK665</f>
        <v>132975000</v>
      </c>
      <c r="AW665" s="72">
        <f>AV665/AU665*100</f>
        <v>74.393065039035733</v>
      </c>
      <c r="AX665" s="49">
        <f>AU665-AV665</f>
        <v>45771500</v>
      </c>
      <c r="AY665" s="49">
        <f t="shared" si="134"/>
        <v>0</v>
      </c>
      <c r="AZ665" s="73">
        <f t="shared" si="135"/>
        <v>132975000</v>
      </c>
    </row>
    <row r="666" spans="1:54" ht="20.100000000000001" hidden="1" customHeight="1">
      <c r="A666" s="83"/>
      <c r="B666" s="69"/>
      <c r="C666" s="240" t="s">
        <v>881</v>
      </c>
      <c r="D666" s="240"/>
      <c r="E666" s="241"/>
      <c r="F666" s="70"/>
      <c r="G666" s="71"/>
      <c r="H666" s="71"/>
      <c r="I666" s="240" t="s">
        <v>151</v>
      </c>
      <c r="J666" s="240"/>
      <c r="K666" s="241"/>
      <c r="L666" s="49"/>
      <c r="M666" s="49"/>
      <c r="N666" s="49"/>
      <c r="O666" s="49"/>
      <c r="P666" s="49"/>
      <c r="Q666" s="49"/>
      <c r="R666" s="72"/>
      <c r="S666" s="49"/>
      <c r="T666" s="49"/>
      <c r="U666" s="49"/>
      <c r="V666" s="49"/>
      <c r="W666" s="49"/>
      <c r="X666" s="49"/>
      <c r="Y666" s="49"/>
      <c r="Z666" s="49"/>
      <c r="AA666" s="49"/>
      <c r="AB666" s="49"/>
      <c r="AC666" s="49">
        <f t="shared" si="137"/>
        <v>0</v>
      </c>
      <c r="AD666" s="49"/>
      <c r="AE666" s="49"/>
      <c r="AF666" s="49"/>
      <c r="AG666" s="49"/>
      <c r="AH666" s="49"/>
      <c r="AI666" s="49"/>
      <c r="AJ666" s="49"/>
      <c r="AK666" s="49"/>
      <c r="AL666" s="49"/>
      <c r="AM666" s="49"/>
      <c r="AN666" s="49"/>
      <c r="AO666" s="49"/>
      <c r="AP666" s="49"/>
      <c r="AQ666" s="49"/>
      <c r="AR666" s="49"/>
      <c r="AS666" s="49"/>
      <c r="AT666" s="49"/>
      <c r="AU666" s="49"/>
      <c r="AV666" s="49"/>
      <c r="AW666" s="49"/>
      <c r="AX666" s="49"/>
      <c r="AY666" s="49"/>
      <c r="AZ666" s="73">
        <f t="shared" si="135"/>
        <v>0</v>
      </c>
    </row>
    <row r="667" spans="1:54" ht="20.100000000000001" hidden="1" customHeight="1">
      <c r="A667" s="83"/>
      <c r="B667" s="69"/>
      <c r="C667" s="240" t="s">
        <v>882</v>
      </c>
      <c r="D667" s="240"/>
      <c r="E667" s="241"/>
      <c r="F667" s="70"/>
      <c r="G667" s="71"/>
      <c r="H667" s="71"/>
      <c r="I667" s="71"/>
      <c r="J667" s="240" t="s">
        <v>155</v>
      </c>
      <c r="K667" s="241"/>
      <c r="L667" s="49">
        <v>7631500</v>
      </c>
      <c r="M667" s="49">
        <v>2000000</v>
      </c>
      <c r="N667" s="49">
        <v>1999375</v>
      </c>
      <c r="O667" s="49"/>
      <c r="P667" s="49"/>
      <c r="Q667" s="49">
        <f>SUM(N667:P667)</f>
        <v>1999375</v>
      </c>
      <c r="R667" s="72">
        <f>Q667/M667*100</f>
        <v>99.96875</v>
      </c>
      <c r="S667" s="49">
        <f>M667-Q667</f>
        <v>625</v>
      </c>
      <c r="T667" s="49">
        <v>2000000</v>
      </c>
      <c r="U667" s="49">
        <f>T667+M667</f>
        <v>4000000</v>
      </c>
      <c r="V667" s="49">
        <f>T667+S667</f>
        <v>2000625</v>
      </c>
      <c r="W667" s="49"/>
      <c r="X667" s="49"/>
      <c r="Y667" s="49">
        <v>985250</v>
      </c>
      <c r="Z667" s="49"/>
      <c r="AA667" s="49">
        <v>2631500</v>
      </c>
      <c r="AB667" s="49">
        <v>23660000</v>
      </c>
      <c r="AC667" s="49">
        <f t="shared" si="137"/>
        <v>16028500</v>
      </c>
      <c r="AD667" s="49">
        <f>AA667+T667+M667</f>
        <v>6631500</v>
      </c>
      <c r="AE667" s="49"/>
      <c r="AF667" s="49"/>
      <c r="AG667" s="49"/>
      <c r="AH667" s="49"/>
      <c r="AI667" s="49"/>
      <c r="AJ667" s="49"/>
      <c r="AK667" s="49">
        <f>Z667+Y667+X667+W667+N667+AG667+AE667+AJ667+AI667+AH667</f>
        <v>2984625</v>
      </c>
      <c r="AL667" s="49">
        <f>AK667/AD667*100</f>
        <v>45.006785795068986</v>
      </c>
      <c r="AM667" s="49"/>
      <c r="AN667" s="49"/>
      <c r="AO667" s="42">
        <v>15149750</v>
      </c>
      <c r="AP667" s="49"/>
      <c r="AQ667" s="49">
        <f>AK667+AM667+AN667+AO667+AP667</f>
        <v>18134375</v>
      </c>
      <c r="AR667" s="49">
        <f>AQ667/AB667*100</f>
        <v>76.645710059171606</v>
      </c>
      <c r="AS667" s="49">
        <f t="shared" si="136"/>
        <v>5525625</v>
      </c>
      <c r="AT667" s="49">
        <v>3091500</v>
      </c>
      <c r="AU667" s="49">
        <f>AT667+U667</f>
        <v>7091500</v>
      </c>
      <c r="AV667" s="49">
        <f>AK667</f>
        <v>2984625</v>
      </c>
      <c r="AW667" s="72">
        <f>AV667/AU667*100</f>
        <v>42.087358104773323</v>
      </c>
      <c r="AX667" s="49">
        <f>AU667-AV667</f>
        <v>4106875</v>
      </c>
      <c r="AY667" s="49">
        <f t="shared" si="134"/>
        <v>23.354289940828401</v>
      </c>
      <c r="AZ667" s="73">
        <f t="shared" si="135"/>
        <v>2984625</v>
      </c>
    </row>
    <row r="668" spans="1:54" ht="20.100000000000001" hidden="1" customHeight="1">
      <c r="A668" s="83"/>
      <c r="B668" s="69"/>
      <c r="C668" s="240" t="s">
        <v>883</v>
      </c>
      <c r="D668" s="240"/>
      <c r="E668" s="241"/>
      <c r="F668" s="70"/>
      <c r="G668" s="71"/>
      <c r="H668" s="71"/>
      <c r="I668" s="71"/>
      <c r="J668" s="240" t="s">
        <v>309</v>
      </c>
      <c r="K668" s="241"/>
      <c r="L668" s="49">
        <v>1250000</v>
      </c>
      <c r="M668" s="49">
        <v>0</v>
      </c>
      <c r="N668" s="49"/>
      <c r="O668" s="49"/>
      <c r="P668" s="49"/>
      <c r="Q668" s="49">
        <f>SUM(N668:P668)</f>
        <v>0</v>
      </c>
      <c r="R668" s="72"/>
      <c r="S668" s="49">
        <f>M668-Q668</f>
        <v>0</v>
      </c>
      <c r="T668" s="49">
        <v>0</v>
      </c>
      <c r="U668" s="49">
        <f>T668+M668</f>
        <v>0</v>
      </c>
      <c r="V668" s="49">
        <f>T668+S668</f>
        <v>0</v>
      </c>
      <c r="W668" s="49"/>
      <c r="X668" s="49"/>
      <c r="Y668" s="49"/>
      <c r="Z668" s="49"/>
      <c r="AA668" s="49">
        <v>0</v>
      </c>
      <c r="AB668" s="49">
        <v>5820000</v>
      </c>
      <c r="AC668" s="49">
        <f t="shared" si="137"/>
        <v>4570000</v>
      </c>
      <c r="AD668" s="49">
        <f>AA668+T668+M668</f>
        <v>0</v>
      </c>
      <c r="AE668" s="49"/>
      <c r="AF668" s="49"/>
      <c r="AG668" s="49"/>
      <c r="AH668" s="49"/>
      <c r="AI668" s="49"/>
      <c r="AJ668" s="49"/>
      <c r="AK668" s="49">
        <f>Z668+Y668+X668+W668+N668+AG668+AE668+AJ668+AI668+AH668</f>
        <v>0</v>
      </c>
      <c r="AL668" s="49" t="e">
        <f>AK668/U668*100</f>
        <v>#DIV/0!</v>
      </c>
      <c r="AM668" s="49"/>
      <c r="AN668" s="49"/>
      <c r="AO668" s="42">
        <v>5808000</v>
      </c>
      <c r="AP668" s="49"/>
      <c r="AQ668" s="49">
        <f>AK668+AM668+AN668+AO668+AP668</f>
        <v>5808000</v>
      </c>
      <c r="AR668" s="49">
        <f>AQ668/AB668*100</f>
        <v>99.793814432989691</v>
      </c>
      <c r="AS668" s="49">
        <f t="shared" si="136"/>
        <v>12000</v>
      </c>
      <c r="AT668" s="49">
        <v>3091500</v>
      </c>
      <c r="AU668" s="49">
        <f>AT668+U668</f>
        <v>3091500</v>
      </c>
      <c r="AV668" s="49">
        <f>AK668</f>
        <v>0</v>
      </c>
      <c r="AW668" s="72">
        <f>AV668/AU668*100</f>
        <v>0</v>
      </c>
      <c r="AX668" s="49">
        <f>AU668-AV668</f>
        <v>3091500</v>
      </c>
      <c r="AY668" s="49">
        <f t="shared" si="134"/>
        <v>0.2061855670103093</v>
      </c>
      <c r="AZ668" s="73">
        <f t="shared" si="135"/>
        <v>0</v>
      </c>
    </row>
    <row r="669" spans="1:54" ht="20.100000000000001" hidden="1" customHeight="1">
      <c r="A669" s="83"/>
      <c r="B669" s="69"/>
      <c r="C669" s="240" t="s">
        <v>884</v>
      </c>
      <c r="D669" s="240"/>
      <c r="E669" s="241"/>
      <c r="F669" s="70"/>
      <c r="G669" s="71"/>
      <c r="H669" s="71"/>
      <c r="I669" s="240" t="s">
        <v>193</v>
      </c>
      <c r="J669" s="240"/>
      <c r="K669" s="241"/>
      <c r="L669" s="49"/>
      <c r="M669" s="49"/>
      <c r="N669" s="49"/>
      <c r="O669" s="49"/>
      <c r="P669" s="49"/>
      <c r="Q669" s="49"/>
      <c r="R669" s="72"/>
      <c r="S669" s="49"/>
      <c r="T669" s="49"/>
      <c r="U669" s="49"/>
      <c r="V669" s="49"/>
      <c r="W669" s="49"/>
      <c r="X669" s="49"/>
      <c r="Y669" s="49"/>
      <c r="Z669" s="49"/>
      <c r="AA669" s="49"/>
      <c r="AB669" s="49"/>
      <c r="AC669" s="49">
        <f t="shared" si="137"/>
        <v>0</v>
      </c>
      <c r="AD669" s="49"/>
      <c r="AE669" s="49"/>
      <c r="AF669" s="49"/>
      <c r="AG669" s="49"/>
      <c r="AH669" s="49"/>
      <c r="AI669" s="49"/>
      <c r="AJ669" s="49"/>
      <c r="AK669" s="49"/>
      <c r="AL669" s="49"/>
      <c r="AM669" s="49"/>
      <c r="AN669" s="49"/>
      <c r="AO669" s="49"/>
      <c r="AP669" s="49"/>
      <c r="AQ669" s="49"/>
      <c r="AR669" s="49"/>
      <c r="AS669" s="49"/>
      <c r="AT669" s="49"/>
      <c r="AU669" s="49"/>
      <c r="AV669" s="49"/>
      <c r="AW669" s="49"/>
      <c r="AX669" s="49"/>
      <c r="AY669" s="49"/>
      <c r="AZ669" s="73">
        <f t="shared" si="135"/>
        <v>0</v>
      </c>
    </row>
    <row r="670" spans="1:54" ht="20.100000000000001" hidden="1" customHeight="1">
      <c r="A670" s="83"/>
      <c r="B670" s="69"/>
      <c r="C670" s="240" t="s">
        <v>885</v>
      </c>
      <c r="D670" s="240"/>
      <c r="E670" s="241"/>
      <c r="F670" s="70"/>
      <c r="G670" s="71"/>
      <c r="H670" s="71"/>
      <c r="I670" s="71"/>
      <c r="J670" s="240" t="s">
        <v>195</v>
      </c>
      <c r="K670" s="241"/>
      <c r="L670" s="49">
        <v>26230000</v>
      </c>
      <c r="M670" s="49">
        <v>19115000</v>
      </c>
      <c r="N670" s="49">
        <f>425000+15750000</f>
        <v>16175000</v>
      </c>
      <c r="O670" s="49"/>
      <c r="P670" s="49"/>
      <c r="Q670" s="49">
        <f>SUM(N670:P670)</f>
        <v>16175000</v>
      </c>
      <c r="R670" s="72">
        <f>Q670/M670*100</f>
        <v>84.619408841224157</v>
      </c>
      <c r="S670" s="49">
        <f>M670-Q670</f>
        <v>2940000</v>
      </c>
      <c r="T670" s="49">
        <v>5925000</v>
      </c>
      <c r="U670" s="49">
        <f>T670+M670</f>
        <v>25040000</v>
      </c>
      <c r="V670" s="49">
        <f>T670+S670</f>
        <v>8865000</v>
      </c>
      <c r="W670" s="49">
        <v>2250000</v>
      </c>
      <c r="X670" s="49"/>
      <c r="Y670" s="49">
        <v>5000000</v>
      </c>
      <c r="Z670" s="49"/>
      <c r="AA670" s="49">
        <v>0</v>
      </c>
      <c r="AB670" s="49">
        <v>44785000</v>
      </c>
      <c r="AC670" s="49">
        <f t="shared" si="137"/>
        <v>18555000</v>
      </c>
      <c r="AD670" s="49">
        <f>AA670+T670+M670</f>
        <v>25040000</v>
      </c>
      <c r="AE670" s="49"/>
      <c r="AF670" s="49"/>
      <c r="AG670" s="49">
        <v>0</v>
      </c>
      <c r="AH670" s="49"/>
      <c r="AI670" s="49">
        <v>0</v>
      </c>
      <c r="AJ670" s="49">
        <v>562500</v>
      </c>
      <c r="AK670" s="49">
        <f>Z670+Y670+X670+W670+N670+AG670+AE670+AJ670+AI670+AH670</f>
        <v>23987500</v>
      </c>
      <c r="AL670" s="49">
        <f>AK670/AD670*100</f>
        <v>95.796725239616606</v>
      </c>
      <c r="AM670" s="49"/>
      <c r="AN670" s="49"/>
      <c r="AO670" s="42">
        <v>16975000</v>
      </c>
      <c r="AP670" s="49"/>
      <c r="AQ670" s="49">
        <f>AK670+AM670+AN670+AO670+AP670</f>
        <v>40962500</v>
      </c>
      <c r="AR670" s="49">
        <f>AQ670/AB670*100</f>
        <v>91.464776152729712</v>
      </c>
      <c r="AS670" s="49">
        <f t="shared" si="136"/>
        <v>3822500</v>
      </c>
      <c r="AT670" s="49">
        <v>3091500</v>
      </c>
      <c r="AU670" s="49">
        <f>AT670+U670</f>
        <v>28131500</v>
      </c>
      <c r="AV670" s="49">
        <f>AK670</f>
        <v>23987500</v>
      </c>
      <c r="AW670" s="72">
        <f>AV670/AU670*100</f>
        <v>85.269182233439381</v>
      </c>
      <c r="AX670" s="49">
        <f>AU670-AV670</f>
        <v>4144000</v>
      </c>
      <c r="AY670" s="49">
        <f t="shared" si="134"/>
        <v>8.5352238472702915</v>
      </c>
      <c r="AZ670" s="73">
        <f t="shared" si="135"/>
        <v>23987500</v>
      </c>
    </row>
    <row r="671" spans="1:54" ht="20.100000000000001" hidden="1" customHeight="1">
      <c r="A671" s="83"/>
      <c r="B671" s="69"/>
      <c r="C671" s="240" t="s">
        <v>886</v>
      </c>
      <c r="D671" s="240"/>
      <c r="E671" s="241"/>
      <c r="F671" s="70"/>
      <c r="G671" s="71"/>
      <c r="H671" s="71"/>
      <c r="I671" s="240" t="s">
        <v>157</v>
      </c>
      <c r="J671" s="240"/>
      <c r="K671" s="241"/>
      <c r="L671" s="49"/>
      <c r="M671" s="49"/>
      <c r="N671" s="49"/>
      <c r="O671" s="49"/>
      <c r="P671" s="49"/>
      <c r="Q671" s="49"/>
      <c r="R671" s="72"/>
      <c r="S671" s="49"/>
      <c r="T671" s="49"/>
      <c r="U671" s="49"/>
      <c r="V671" s="49"/>
      <c r="W671" s="49"/>
      <c r="X671" s="49"/>
      <c r="Y671" s="49"/>
      <c r="Z671" s="49"/>
      <c r="AA671" s="49"/>
      <c r="AB671" s="49"/>
      <c r="AC671" s="49">
        <f t="shared" si="137"/>
        <v>0</v>
      </c>
      <c r="AD671" s="49"/>
      <c r="AE671" s="49"/>
      <c r="AF671" s="49"/>
      <c r="AG671" s="49"/>
      <c r="AH671" s="49"/>
      <c r="AI671" s="49"/>
      <c r="AJ671" s="49"/>
      <c r="AK671" s="49"/>
      <c r="AL671" s="49"/>
      <c r="AM671" s="49"/>
      <c r="AN671" s="49"/>
      <c r="AO671" s="49"/>
      <c r="AP671" s="49"/>
      <c r="AQ671" s="49"/>
      <c r="AR671" s="49"/>
      <c r="AS671" s="49"/>
      <c r="AT671" s="49"/>
      <c r="AU671" s="49"/>
      <c r="AV671" s="49"/>
      <c r="AW671" s="49"/>
      <c r="AX671" s="49"/>
      <c r="AY671" s="49"/>
      <c r="AZ671" s="73">
        <f t="shared" si="135"/>
        <v>0</v>
      </c>
    </row>
    <row r="672" spans="1:54" ht="20.100000000000001" hidden="1" customHeight="1">
      <c r="A672" s="83"/>
      <c r="B672" s="69"/>
      <c r="C672" s="240" t="s">
        <v>887</v>
      </c>
      <c r="D672" s="240"/>
      <c r="E672" s="241"/>
      <c r="F672" s="70"/>
      <c r="G672" s="71"/>
      <c r="H672" s="71"/>
      <c r="I672" s="71"/>
      <c r="J672" s="240" t="s">
        <v>159</v>
      </c>
      <c r="K672" s="241"/>
      <c r="L672" s="49">
        <v>69870000</v>
      </c>
      <c r="M672" s="49">
        <v>1200000</v>
      </c>
      <c r="N672" s="49"/>
      <c r="O672" s="49"/>
      <c r="P672" s="49"/>
      <c r="Q672" s="49">
        <f>SUM(N672:P672)</f>
        <v>0</v>
      </c>
      <c r="R672" s="72">
        <f>Q672/M672*100</f>
        <v>0</v>
      </c>
      <c r="S672" s="49">
        <f>M672-Q672</f>
        <v>1200000</v>
      </c>
      <c r="T672" s="49">
        <v>14000000</v>
      </c>
      <c r="U672" s="49">
        <f>T672+M672</f>
        <v>15200000</v>
      </c>
      <c r="V672" s="49">
        <f>T672+S672</f>
        <v>15200000</v>
      </c>
      <c r="W672" s="49"/>
      <c r="X672" s="49"/>
      <c r="Y672" s="49">
        <v>4000000</v>
      </c>
      <c r="Z672" s="49"/>
      <c r="AA672" s="49">
        <v>36670000</v>
      </c>
      <c r="AB672" s="49">
        <v>69870000</v>
      </c>
      <c r="AC672" s="49">
        <f t="shared" si="137"/>
        <v>0</v>
      </c>
      <c r="AD672" s="49">
        <f>AA672+T672+M672</f>
        <v>51870000</v>
      </c>
      <c r="AE672" s="49"/>
      <c r="AF672" s="49"/>
      <c r="AG672" s="49"/>
      <c r="AH672" s="49"/>
      <c r="AI672" s="49"/>
      <c r="AJ672" s="49">
        <f>8520000+500000</f>
        <v>9020000</v>
      </c>
      <c r="AK672" s="49">
        <f>Z672+Y672+X672+W672+N672+AG672+AE672+AJ672+AI672+AH672</f>
        <v>13020000</v>
      </c>
      <c r="AL672" s="49">
        <f>AK672/AD672*100</f>
        <v>25.101214574898783</v>
      </c>
      <c r="AM672" s="48"/>
      <c r="AN672" s="49"/>
      <c r="AO672" s="49"/>
      <c r="AP672" s="49"/>
      <c r="AQ672" s="49">
        <f>AK672+AM672+AN672+AO672+AP672</f>
        <v>13020000</v>
      </c>
      <c r="AR672" s="49">
        <f>AQ672/AB672*100</f>
        <v>18.634607127522543</v>
      </c>
      <c r="AS672" s="49">
        <f t="shared" si="136"/>
        <v>56850000</v>
      </c>
      <c r="AT672" s="49">
        <v>3091500</v>
      </c>
      <c r="AU672" s="49">
        <f>AT672+U672</f>
        <v>18291500</v>
      </c>
      <c r="AV672" s="49">
        <f>AK672</f>
        <v>13020000</v>
      </c>
      <c r="AW672" s="72">
        <f>AV672/AU672*100</f>
        <v>71.18060301232812</v>
      </c>
      <c r="AX672" s="49">
        <f>AU672-AV672</f>
        <v>5271500</v>
      </c>
      <c r="AY672" s="49">
        <f t="shared" si="134"/>
        <v>81.365392872477457</v>
      </c>
      <c r="AZ672" s="73">
        <f t="shared" si="135"/>
        <v>13020000</v>
      </c>
      <c r="BB672" s="29">
        <f>AS672</f>
        <v>56850000</v>
      </c>
    </row>
    <row r="673" spans="1:54" ht="20.100000000000001" hidden="1" customHeight="1">
      <c r="A673" s="83"/>
      <c r="B673" s="69"/>
      <c r="C673" s="240" t="s">
        <v>888</v>
      </c>
      <c r="D673" s="240"/>
      <c r="E673" s="241"/>
      <c r="F673" s="70"/>
      <c r="G673" s="71"/>
      <c r="H673" s="71"/>
      <c r="I673" s="71"/>
      <c r="J673" s="240" t="s">
        <v>207</v>
      </c>
      <c r="K673" s="241"/>
      <c r="L673" s="49">
        <v>5055500</v>
      </c>
      <c r="M673" s="49">
        <v>2500000</v>
      </c>
      <c r="N673" s="49"/>
      <c r="O673" s="49"/>
      <c r="P673" s="49"/>
      <c r="Q673" s="49">
        <f>SUM(N673:P673)</f>
        <v>0</v>
      </c>
      <c r="R673" s="72">
        <f>Q673/M673*100</f>
        <v>0</v>
      </c>
      <c r="S673" s="49">
        <f>M673-Q673</f>
        <v>2500000</v>
      </c>
      <c r="T673" s="49">
        <v>0</v>
      </c>
      <c r="U673" s="49">
        <f>T673+M673</f>
        <v>2500000</v>
      </c>
      <c r="V673" s="49">
        <f>T673+S673</f>
        <v>2500000</v>
      </c>
      <c r="W673" s="49"/>
      <c r="X673" s="49"/>
      <c r="Y673" s="49">
        <v>0</v>
      </c>
      <c r="Z673" s="49"/>
      <c r="AA673" s="49">
        <v>0</v>
      </c>
      <c r="AB673" s="49">
        <v>5055000</v>
      </c>
      <c r="AC673" s="49">
        <f t="shared" si="137"/>
        <v>-500</v>
      </c>
      <c r="AD673" s="49">
        <f>AA673+T673+M673</f>
        <v>2500000</v>
      </c>
      <c r="AE673" s="49"/>
      <c r="AF673" s="49"/>
      <c r="AG673" s="49"/>
      <c r="AH673" s="49"/>
      <c r="AI673" s="49"/>
      <c r="AJ673" s="49">
        <v>2479560</v>
      </c>
      <c r="AK673" s="49">
        <f>Z673+Y673+X673+W673+N673+AG673+AE673+AJ673+AI673+AH673</f>
        <v>2479560</v>
      </c>
      <c r="AL673" s="49">
        <f>AK673/AD673*100</f>
        <v>99.182400000000001</v>
      </c>
      <c r="AM673" s="48"/>
      <c r="AN673" s="49"/>
      <c r="AO673" s="49"/>
      <c r="AP673" s="49"/>
      <c r="AQ673" s="49">
        <f>AK673+AM673+AN673+AO673+AP673</f>
        <v>2479560</v>
      </c>
      <c r="AR673" s="49">
        <f>AQ673/AB673*100</f>
        <v>49.051632047477746</v>
      </c>
      <c r="AS673" s="49">
        <f t="shared" si="136"/>
        <v>2575440</v>
      </c>
      <c r="AT673" s="49">
        <v>3091500</v>
      </c>
      <c r="AU673" s="49">
        <f>AT673+U673</f>
        <v>5591500</v>
      </c>
      <c r="AV673" s="49">
        <f>AK673</f>
        <v>2479560</v>
      </c>
      <c r="AW673" s="72">
        <f>AV673/AU673*100</f>
        <v>44.345166770991682</v>
      </c>
      <c r="AX673" s="49">
        <f>AU673-AV673</f>
        <v>3111940</v>
      </c>
      <c r="AY673" s="49">
        <f>AS673/AB673*100</f>
        <v>50.948367952522254</v>
      </c>
      <c r="AZ673" s="73">
        <f t="shared" si="135"/>
        <v>2479560</v>
      </c>
    </row>
    <row r="674" spans="1:54" ht="20.100000000000001" hidden="1" customHeight="1">
      <c r="A674" s="83"/>
      <c r="B674" s="69"/>
      <c r="C674" s="240" t="s">
        <v>889</v>
      </c>
      <c r="D674" s="240"/>
      <c r="E674" s="241"/>
      <c r="F674" s="70"/>
      <c r="G674" s="71"/>
      <c r="H674" s="71"/>
      <c r="I674" s="240" t="s">
        <v>402</v>
      </c>
      <c r="J674" s="240"/>
      <c r="K674" s="241"/>
      <c r="L674" s="49"/>
      <c r="M674" s="49"/>
      <c r="N674" s="49"/>
      <c r="O674" s="49"/>
      <c r="P674" s="49"/>
      <c r="Q674" s="49"/>
      <c r="R674" s="72"/>
      <c r="S674" s="49"/>
      <c r="T674" s="49">
        <v>0</v>
      </c>
      <c r="U674" s="49">
        <f>T674+M674</f>
        <v>0</v>
      </c>
      <c r="V674" s="49">
        <f>T674+S674</f>
        <v>0</v>
      </c>
      <c r="W674" s="49"/>
      <c r="X674" s="49"/>
      <c r="Y674" s="49"/>
      <c r="Z674" s="49"/>
      <c r="AA674" s="49">
        <v>0</v>
      </c>
      <c r="AB674" s="49"/>
      <c r="AC674" s="49">
        <f t="shared" si="137"/>
        <v>0</v>
      </c>
      <c r="AD674" s="49"/>
      <c r="AE674" s="49"/>
      <c r="AF674" s="49"/>
      <c r="AG674" s="49"/>
      <c r="AH674" s="49"/>
      <c r="AI674" s="49"/>
      <c r="AJ674" s="49"/>
      <c r="AK674" s="49"/>
      <c r="AL674" s="49"/>
      <c r="AM674" s="49"/>
      <c r="AN674" s="49"/>
      <c r="AO674" s="49"/>
      <c r="AP674" s="49"/>
      <c r="AQ674" s="49"/>
      <c r="AR674" s="49"/>
      <c r="AS674" s="49"/>
      <c r="AT674" s="49"/>
      <c r="AU674" s="49"/>
      <c r="AV674" s="49"/>
      <c r="AW674" s="49"/>
      <c r="AX674" s="49"/>
      <c r="AY674" s="49"/>
      <c r="AZ674" s="73">
        <f t="shared" si="135"/>
        <v>0</v>
      </c>
    </row>
    <row r="675" spans="1:54" ht="20.100000000000001" hidden="1" customHeight="1">
      <c r="A675" s="83"/>
      <c r="B675" s="69"/>
      <c r="C675" s="240" t="s">
        <v>890</v>
      </c>
      <c r="D675" s="240"/>
      <c r="E675" s="241"/>
      <c r="F675" s="70"/>
      <c r="G675" s="71"/>
      <c r="H675" s="71"/>
      <c r="I675" s="71"/>
      <c r="J675" s="240" t="s">
        <v>404</v>
      </c>
      <c r="K675" s="241"/>
      <c r="L675" s="49">
        <v>1250000</v>
      </c>
      <c r="M675" s="49">
        <v>1250000</v>
      </c>
      <c r="N675" s="49"/>
      <c r="O675" s="49"/>
      <c r="P675" s="49"/>
      <c r="Q675" s="49">
        <f>SUM(N675:P675)</f>
        <v>0</v>
      </c>
      <c r="R675" s="72">
        <f>Q675/M675*100</f>
        <v>0</v>
      </c>
      <c r="S675" s="49">
        <f>M675-Q675</f>
        <v>1250000</v>
      </c>
      <c r="T675" s="49">
        <v>0</v>
      </c>
      <c r="U675" s="49">
        <f>T675+M675</f>
        <v>1250000</v>
      </c>
      <c r="V675" s="49">
        <f>T675+S675</f>
        <v>1250000</v>
      </c>
      <c r="W675" s="49"/>
      <c r="X675" s="49"/>
      <c r="Y675" s="49">
        <v>0</v>
      </c>
      <c r="Z675" s="49"/>
      <c r="AA675" s="49">
        <v>0</v>
      </c>
      <c r="AB675" s="49">
        <v>0</v>
      </c>
      <c r="AC675" s="49">
        <f t="shared" si="137"/>
        <v>-1250000</v>
      </c>
      <c r="AD675" s="49">
        <f>AA675+T675+M675</f>
        <v>1250000</v>
      </c>
      <c r="AE675" s="49"/>
      <c r="AF675" s="49"/>
      <c r="AG675" s="49"/>
      <c r="AH675" s="49"/>
      <c r="AI675" s="49"/>
      <c r="AJ675" s="49">
        <v>0</v>
      </c>
      <c r="AK675" s="49">
        <f>Z675+Y675+X675+W675+N675+AG675+AE675+AJ675+AI675+AH675</f>
        <v>0</v>
      </c>
      <c r="AL675" s="49">
        <f>AK675/AD675*100</f>
        <v>0</v>
      </c>
      <c r="AM675" s="49"/>
      <c r="AN675" s="49"/>
      <c r="AO675" s="49"/>
      <c r="AP675" s="49"/>
      <c r="AQ675" s="49"/>
      <c r="AR675" s="49"/>
      <c r="AS675" s="49"/>
      <c r="AT675" s="49"/>
      <c r="AU675" s="49"/>
      <c r="AV675" s="49"/>
      <c r="AW675" s="49"/>
      <c r="AX675" s="49"/>
      <c r="AY675" s="49"/>
      <c r="AZ675" s="73">
        <f t="shared" si="135"/>
        <v>0</v>
      </c>
    </row>
    <row r="676" spans="1:54" ht="20.100000000000001" customHeight="1">
      <c r="A676" s="83"/>
      <c r="B676" s="69"/>
      <c r="C676" s="71"/>
      <c r="D676" s="71"/>
      <c r="E676" s="84"/>
      <c r="F676" s="70"/>
      <c r="G676" s="71"/>
      <c r="H676" s="71"/>
      <c r="I676" s="71"/>
      <c r="J676" s="71"/>
      <c r="K676" s="84"/>
      <c r="L676" s="83"/>
      <c r="M676" s="83"/>
      <c r="N676" s="83"/>
      <c r="O676" s="83"/>
      <c r="P676" s="83"/>
      <c r="Q676" s="83"/>
      <c r="R676" s="72"/>
      <c r="S676" s="83"/>
      <c r="T676" s="83"/>
      <c r="U676" s="83"/>
      <c r="V676" s="83"/>
      <c r="W676" s="83"/>
      <c r="X676" s="83"/>
      <c r="Y676" s="83"/>
      <c r="Z676" s="83"/>
      <c r="AA676" s="83"/>
      <c r="AB676" s="83"/>
      <c r="AC676" s="49">
        <f t="shared" si="137"/>
        <v>0</v>
      </c>
      <c r="AD676" s="83"/>
      <c r="AE676" s="85"/>
      <c r="AF676" s="85"/>
      <c r="AG676" s="83"/>
      <c r="AH676" s="83"/>
      <c r="AI676" s="83"/>
      <c r="AJ676" s="83"/>
      <c r="AK676" s="49"/>
      <c r="AL676" s="49"/>
      <c r="AM676" s="83"/>
      <c r="AN676" s="83"/>
      <c r="AO676" s="83"/>
      <c r="AP676" s="83"/>
      <c r="AQ676" s="49"/>
      <c r="AR676" s="49"/>
      <c r="AS676" s="49"/>
      <c r="AT676" s="49"/>
      <c r="AU676" s="49"/>
      <c r="AV676" s="49"/>
      <c r="AW676" s="49"/>
      <c r="AX676" s="49"/>
      <c r="AY676" s="49"/>
      <c r="AZ676" s="73">
        <f>AQ676-AO676</f>
        <v>0</v>
      </c>
    </row>
    <row r="677" spans="1:54" ht="20.100000000000001" customHeight="1">
      <c r="A677" s="86"/>
      <c r="B677" s="87"/>
      <c r="C677" s="88"/>
      <c r="D677" s="88"/>
      <c r="E677" s="89"/>
      <c r="F677" s="237"/>
      <c r="G677" s="238"/>
      <c r="H677" s="238"/>
      <c r="I677" s="238"/>
      <c r="J677" s="238"/>
      <c r="K677" s="239"/>
      <c r="L677" s="42">
        <f t="shared" ref="L677:Q677" si="152">L34+L87+L122+L136+L154+L192+L270+L290+L416+L443+L548+L635</f>
        <v>5320434000</v>
      </c>
      <c r="M677" s="42">
        <f t="shared" si="152"/>
        <v>811748150</v>
      </c>
      <c r="N677" s="42">
        <f t="shared" si="152"/>
        <v>279597741</v>
      </c>
      <c r="O677" s="42">
        <f t="shared" si="152"/>
        <v>0</v>
      </c>
      <c r="P677" s="42">
        <f t="shared" si="152"/>
        <v>0</v>
      </c>
      <c r="Q677" s="42">
        <f t="shared" si="152"/>
        <v>279597741</v>
      </c>
      <c r="R677" s="59">
        <f>Q677/M677*100</f>
        <v>34.443902459155588</v>
      </c>
      <c r="S677" s="42">
        <f>S34+S87+S122+S136+S154+S192+S270+S290+S416+S443+S548+S635</f>
        <v>532150409</v>
      </c>
      <c r="T677" s="42">
        <f>T34+T87+T122+T136+T154+T192+T270+T290+T416+T443+T548+T635</f>
        <v>1555015250</v>
      </c>
      <c r="U677" s="42">
        <f>T677+M677</f>
        <v>2366763400</v>
      </c>
      <c r="V677" s="42">
        <f>T677+S677</f>
        <v>2087165659</v>
      </c>
      <c r="W677" s="42">
        <f t="shared" ref="W677:AB677" si="153">W34+W87+W122+W136+W154+W192+W270+W290+W416+W443+W548+W635</f>
        <v>314563491</v>
      </c>
      <c r="X677" s="42">
        <f t="shared" si="153"/>
        <v>242114180</v>
      </c>
      <c r="Y677" s="42">
        <f t="shared" si="153"/>
        <v>141408250</v>
      </c>
      <c r="Z677" s="42">
        <f t="shared" si="153"/>
        <v>475953975</v>
      </c>
      <c r="AA677" s="42">
        <f t="shared" si="153"/>
        <v>1821270600</v>
      </c>
      <c r="AB677" s="42">
        <f t="shared" si="153"/>
        <v>5229995000</v>
      </c>
      <c r="AC677" s="42">
        <f t="shared" si="137"/>
        <v>-90439000</v>
      </c>
      <c r="AD677" s="42">
        <f>AA677+T677+M677</f>
        <v>4188034000</v>
      </c>
      <c r="AE677" s="42">
        <f t="shared" ref="AE677:AK677" si="154">AE34+AE87+AE122+AE136+AE154+AE192+AE270+AE290+AE416+AE443+AE548+AE635</f>
        <v>199628400</v>
      </c>
      <c r="AF677" s="42">
        <f t="shared" si="154"/>
        <v>265923400</v>
      </c>
      <c r="AG677" s="42">
        <f t="shared" si="154"/>
        <v>284145622</v>
      </c>
      <c r="AH677" s="42">
        <f t="shared" si="154"/>
        <v>388838175</v>
      </c>
      <c r="AI677" s="42">
        <f t="shared" si="154"/>
        <v>0</v>
      </c>
      <c r="AJ677" s="90">
        <f t="shared" si="154"/>
        <v>320151262</v>
      </c>
      <c r="AK677" s="42">
        <f t="shared" si="154"/>
        <v>2910950496</v>
      </c>
      <c r="AL677" s="42">
        <f>AK677/AB677*100</f>
        <v>55.658762503597039</v>
      </c>
      <c r="AM677" s="42">
        <f>AM34+AM87+AM122+AM136+AM154+AM192+AM270+AM290+AM416+AM443+AM548+AM635</f>
        <v>757631400</v>
      </c>
      <c r="AN677" s="42">
        <f>AN34+AN87+AN122+AN136+AN154+AN192+AN270+AN290+AN416+AN443+AN548+AN635</f>
        <v>195851725</v>
      </c>
      <c r="AO677" s="42">
        <f>AO34+AO87+AO122+AO136+AO154+AO192+AO270+AO290+AO416+AO443+AO548+AO635</f>
        <v>239689962</v>
      </c>
      <c r="AP677" s="42">
        <f>AP34+AP87+AP122+AP136+AP154+AP192+AP270+AP290+AP416+AP443+AP548+AP635</f>
        <v>336272900</v>
      </c>
      <c r="AQ677" s="42">
        <f>AK677+AM677+AN677+AO677+AP677</f>
        <v>4440396483</v>
      </c>
      <c r="AR677" s="42">
        <f>AQ677/AB677*100</f>
        <v>84.902499581739562</v>
      </c>
      <c r="AS677" s="42">
        <f>AB677-AQ677</f>
        <v>789598517</v>
      </c>
      <c r="AT677" s="42" t="e">
        <f>SUM(#REF!)</f>
        <v>#REF!</v>
      </c>
      <c r="AU677" s="42" t="e">
        <f>AT677+U677</f>
        <v>#REF!</v>
      </c>
      <c r="AV677" s="42">
        <f>AK677</f>
        <v>2910950496</v>
      </c>
      <c r="AW677" s="59" t="e">
        <f>AV677/AU677*100</f>
        <v>#REF!</v>
      </c>
      <c r="AX677" s="42" t="e">
        <f>AU677-AV677</f>
        <v>#REF!</v>
      </c>
      <c r="AY677" s="42">
        <f>AS677/AB677*100</f>
        <v>15.097500418260438</v>
      </c>
      <c r="AZ677" s="73">
        <f>AQ677-AO677</f>
        <v>4200706521</v>
      </c>
      <c r="BA677" s="91">
        <f>SUM(BA35:BA676)</f>
        <v>289772945</v>
      </c>
      <c r="BB677" s="91">
        <f>SUM(BB35:BB676)</f>
        <v>259372000</v>
      </c>
    </row>
    <row r="678" spans="1:54" ht="12.75" customHeight="1">
      <c r="AJ678" s="29">
        <f>320151262-AJ677</f>
        <v>0</v>
      </c>
      <c r="AO678" s="92">
        <f>350000000*75%</f>
        <v>262500000</v>
      </c>
      <c r="AY678" s="93"/>
      <c r="AZ678" s="73">
        <f>AQ678-AO678</f>
        <v>-262500000</v>
      </c>
      <c r="BA678" s="94" t="s">
        <v>891</v>
      </c>
      <c r="BB678" s="95" t="s">
        <v>116</v>
      </c>
    </row>
  </sheetData>
  <mergeCells count="1336">
    <mergeCell ref="F677:K677"/>
    <mergeCell ref="C8:E8"/>
    <mergeCell ref="H8:K8"/>
    <mergeCell ref="C9:E9"/>
    <mergeCell ref="H9:K9"/>
    <mergeCell ref="C673:E673"/>
    <mergeCell ref="J673:K673"/>
    <mergeCell ref="C674:E674"/>
    <mergeCell ref="I674:K674"/>
    <mergeCell ref="C675:E675"/>
    <mergeCell ref="J675:K675"/>
    <mergeCell ref="C670:E670"/>
    <mergeCell ref="J670:K670"/>
    <mergeCell ref="C671:E671"/>
    <mergeCell ref="I671:K671"/>
    <mergeCell ref="C672:E672"/>
    <mergeCell ref="J672:K672"/>
    <mergeCell ref="C667:E667"/>
    <mergeCell ref="J667:K667"/>
    <mergeCell ref="C668:E668"/>
    <mergeCell ref="J668:K668"/>
    <mergeCell ref="C669:E669"/>
    <mergeCell ref="I669:K669"/>
    <mergeCell ref="C664:E664"/>
    <mergeCell ref="J664:K664"/>
    <mergeCell ref="C665:E665"/>
    <mergeCell ref="J665:K665"/>
    <mergeCell ref="C666:E666"/>
    <mergeCell ref="I666:K666"/>
    <mergeCell ref="C661:E661"/>
    <mergeCell ref="I661:K661"/>
    <mergeCell ref="C662:E662"/>
    <mergeCell ref="J662:K662"/>
    <mergeCell ref="C663:E663"/>
    <mergeCell ref="I663:K663"/>
    <mergeCell ref="C658:E658"/>
    <mergeCell ref="J658:K658"/>
    <mergeCell ref="C659:E659"/>
    <mergeCell ref="J659:K659"/>
    <mergeCell ref="C660:E660"/>
    <mergeCell ref="H660:K660"/>
    <mergeCell ref="C655:E655"/>
    <mergeCell ref="I655:K655"/>
    <mergeCell ref="C656:E656"/>
    <mergeCell ref="J656:K656"/>
    <mergeCell ref="C657:E657"/>
    <mergeCell ref="I657:K657"/>
    <mergeCell ref="C652:E652"/>
    <mergeCell ref="J652:K652"/>
    <mergeCell ref="C653:E653"/>
    <mergeCell ref="G653:K653"/>
    <mergeCell ref="C654:E654"/>
    <mergeCell ref="H654:K654"/>
    <mergeCell ref="C649:E649"/>
    <mergeCell ref="J649:K649"/>
    <mergeCell ref="C650:E650"/>
    <mergeCell ref="J650:K650"/>
    <mergeCell ref="C651:E651"/>
    <mergeCell ref="I651:K651"/>
    <mergeCell ref="C646:E646"/>
    <mergeCell ref="I646:K646"/>
    <mergeCell ref="C647:E647"/>
    <mergeCell ref="J647:K647"/>
    <mergeCell ref="C648:E648"/>
    <mergeCell ref="I648:K648"/>
    <mergeCell ref="C643:E643"/>
    <mergeCell ref="J643:K643"/>
    <mergeCell ref="C644:E644"/>
    <mergeCell ref="J644:K644"/>
    <mergeCell ref="C645:E645"/>
    <mergeCell ref="J645:K645"/>
    <mergeCell ref="C640:E640"/>
    <mergeCell ref="I640:K640"/>
    <mergeCell ref="C641:E641"/>
    <mergeCell ref="I641:K641"/>
    <mergeCell ref="C642:E642"/>
    <mergeCell ref="I642:K642"/>
    <mergeCell ref="C637:E637"/>
    <mergeCell ref="H637:K637"/>
    <mergeCell ref="C638:E638"/>
    <mergeCell ref="J638:K638"/>
    <mergeCell ref="C639:E639"/>
    <mergeCell ref="H639:K639"/>
    <mergeCell ref="C634:E634"/>
    <mergeCell ref="J634:K634"/>
    <mergeCell ref="C635:E635"/>
    <mergeCell ref="F635:K635"/>
    <mergeCell ref="C636:E636"/>
    <mergeCell ref="H636:K636"/>
    <mergeCell ref="C631:E631"/>
    <mergeCell ref="J631:K631"/>
    <mergeCell ref="C632:E632"/>
    <mergeCell ref="J632:K632"/>
    <mergeCell ref="C633:E633"/>
    <mergeCell ref="I633:K633"/>
    <mergeCell ref="C628:E628"/>
    <mergeCell ref="I628:K628"/>
    <mergeCell ref="C629:E629"/>
    <mergeCell ref="J629:K629"/>
    <mergeCell ref="C630:E630"/>
    <mergeCell ref="I630:K630"/>
    <mergeCell ref="C625:E625"/>
    <mergeCell ref="J625:K625"/>
    <mergeCell ref="C626:E626"/>
    <mergeCell ref="I626:K626"/>
    <mergeCell ref="C627:E627"/>
    <mergeCell ref="J627:K627"/>
    <mergeCell ref="C622:E622"/>
    <mergeCell ref="I622:K622"/>
    <mergeCell ref="C623:E623"/>
    <mergeCell ref="J623:K623"/>
    <mergeCell ref="C624:E624"/>
    <mergeCell ref="I624:K624"/>
    <mergeCell ref="C619:E619"/>
    <mergeCell ref="J619:K619"/>
    <mergeCell ref="C620:E620"/>
    <mergeCell ref="J620:K620"/>
    <mergeCell ref="C621:E621"/>
    <mergeCell ref="J621:K621"/>
    <mergeCell ref="C616:E616"/>
    <mergeCell ref="J616:K616"/>
    <mergeCell ref="C617:E617"/>
    <mergeCell ref="J617:K617"/>
    <mergeCell ref="C618:E618"/>
    <mergeCell ref="I618:K618"/>
    <mergeCell ref="C613:E613"/>
    <mergeCell ref="I613:K613"/>
    <mergeCell ref="C614:E614"/>
    <mergeCell ref="J614:K614"/>
    <mergeCell ref="C615:E615"/>
    <mergeCell ref="I615:K615"/>
    <mergeCell ref="C610:E610"/>
    <mergeCell ref="J610:K610"/>
    <mergeCell ref="C611:E611"/>
    <mergeCell ref="J611:K611"/>
    <mergeCell ref="C612:E612"/>
    <mergeCell ref="H612:K612"/>
    <mergeCell ref="C607:E607"/>
    <mergeCell ref="G607:K607"/>
    <mergeCell ref="C608:E608"/>
    <mergeCell ref="H608:K608"/>
    <mergeCell ref="C609:E609"/>
    <mergeCell ref="I609:K609"/>
    <mergeCell ref="C604:E604"/>
    <mergeCell ref="J604:K604"/>
    <mergeCell ref="C605:E605"/>
    <mergeCell ref="I605:K605"/>
    <mergeCell ref="C606:E606"/>
    <mergeCell ref="J606:K606"/>
    <mergeCell ref="C601:E601"/>
    <mergeCell ref="J601:K601"/>
    <mergeCell ref="C602:E602"/>
    <mergeCell ref="J602:K602"/>
    <mergeCell ref="C603:E603"/>
    <mergeCell ref="I603:K603"/>
    <mergeCell ref="C598:E598"/>
    <mergeCell ref="I598:K598"/>
    <mergeCell ref="C599:E599"/>
    <mergeCell ref="J599:K599"/>
    <mergeCell ref="C600:E600"/>
    <mergeCell ref="I600:K600"/>
    <mergeCell ref="C595:E595"/>
    <mergeCell ref="J595:K595"/>
    <mergeCell ref="C596:E596"/>
    <mergeCell ref="I596:K596"/>
    <mergeCell ref="C597:E597"/>
    <mergeCell ref="J597:K597"/>
    <mergeCell ref="C592:E592"/>
    <mergeCell ref="J592:K592"/>
    <mergeCell ref="C593:E593"/>
    <mergeCell ref="J593:K593"/>
    <mergeCell ref="C594:E594"/>
    <mergeCell ref="I594:K594"/>
    <mergeCell ref="C589:E589"/>
    <mergeCell ref="J589:K589"/>
    <mergeCell ref="C590:E590"/>
    <mergeCell ref="I590:K590"/>
    <mergeCell ref="C591:E591"/>
    <mergeCell ref="J591:K591"/>
    <mergeCell ref="C586:E586"/>
    <mergeCell ref="I586:K586"/>
    <mergeCell ref="C587:E587"/>
    <mergeCell ref="J587:K587"/>
    <mergeCell ref="C588:E588"/>
    <mergeCell ref="J588:K588"/>
    <mergeCell ref="C583:E583"/>
    <mergeCell ref="H583:K583"/>
    <mergeCell ref="C584:E584"/>
    <mergeCell ref="I584:K584"/>
    <mergeCell ref="C585:E585"/>
    <mergeCell ref="J585:K585"/>
    <mergeCell ref="C580:E580"/>
    <mergeCell ref="I580:K580"/>
    <mergeCell ref="C581:E581"/>
    <mergeCell ref="J581:K581"/>
    <mergeCell ref="C582:E582"/>
    <mergeCell ref="J582:K582"/>
    <mergeCell ref="C577:E577"/>
    <mergeCell ref="J577:K577"/>
    <mergeCell ref="C578:E578"/>
    <mergeCell ref="G578:K578"/>
    <mergeCell ref="C579:E579"/>
    <mergeCell ref="H579:K579"/>
    <mergeCell ref="C574:E574"/>
    <mergeCell ref="J574:K574"/>
    <mergeCell ref="C575:E575"/>
    <mergeCell ref="J575:K575"/>
    <mergeCell ref="C576:E576"/>
    <mergeCell ref="I576:K576"/>
    <mergeCell ref="C571:E571"/>
    <mergeCell ref="I571:K571"/>
    <mergeCell ref="C572:E572"/>
    <mergeCell ref="J572:K572"/>
    <mergeCell ref="C573:E573"/>
    <mergeCell ref="I573:K573"/>
    <mergeCell ref="C568:E568"/>
    <mergeCell ref="J568:K568"/>
    <mergeCell ref="C569:E569"/>
    <mergeCell ref="I569:K569"/>
    <mergeCell ref="C570:E570"/>
    <mergeCell ref="J570:K570"/>
    <mergeCell ref="C565:E565"/>
    <mergeCell ref="I565:K565"/>
    <mergeCell ref="C566:E566"/>
    <mergeCell ref="J566:K566"/>
    <mergeCell ref="C567:E567"/>
    <mergeCell ref="I567:K567"/>
    <mergeCell ref="C562:E562"/>
    <mergeCell ref="I562:K562"/>
    <mergeCell ref="C563:E563"/>
    <mergeCell ref="J563:K563"/>
    <mergeCell ref="C564:E564"/>
    <mergeCell ref="J564:K564"/>
    <mergeCell ref="C559:E559"/>
    <mergeCell ref="J559:K559"/>
    <mergeCell ref="C560:E560"/>
    <mergeCell ref="J560:K560"/>
    <mergeCell ref="C561:E561"/>
    <mergeCell ref="J561:K561"/>
    <mergeCell ref="C556:E556"/>
    <mergeCell ref="J556:K556"/>
    <mergeCell ref="C557:E557"/>
    <mergeCell ref="I557:K557"/>
    <mergeCell ref="C558:E558"/>
    <mergeCell ref="J558:K558"/>
    <mergeCell ref="C553:E553"/>
    <mergeCell ref="J553:K553"/>
    <mergeCell ref="C554:E554"/>
    <mergeCell ref="H554:K554"/>
    <mergeCell ref="C555:E555"/>
    <mergeCell ref="I555:K555"/>
    <mergeCell ref="C550:E550"/>
    <mergeCell ref="H550:K550"/>
    <mergeCell ref="C551:E551"/>
    <mergeCell ref="I551:K551"/>
    <mergeCell ref="C552:E552"/>
    <mergeCell ref="J552:K552"/>
    <mergeCell ref="C547:E547"/>
    <mergeCell ref="J547:K547"/>
    <mergeCell ref="C548:E548"/>
    <mergeCell ref="F548:K548"/>
    <mergeCell ref="C549:E549"/>
    <mergeCell ref="G549:K549"/>
    <mergeCell ref="C544:E544"/>
    <mergeCell ref="J544:K544"/>
    <mergeCell ref="C545:E545"/>
    <mergeCell ref="J545:K545"/>
    <mergeCell ref="C546:E546"/>
    <mergeCell ref="I546:K546"/>
    <mergeCell ref="C541:E541"/>
    <mergeCell ref="I541:K541"/>
    <mergeCell ref="C542:E542"/>
    <mergeCell ref="J542:K542"/>
    <mergeCell ref="C543:E543"/>
    <mergeCell ref="I543:K543"/>
    <mergeCell ref="C538:E538"/>
    <mergeCell ref="J538:K538"/>
    <mergeCell ref="C539:E539"/>
    <mergeCell ref="I539:K539"/>
    <mergeCell ref="C540:E540"/>
    <mergeCell ref="J540:K540"/>
    <mergeCell ref="C535:E535"/>
    <mergeCell ref="J535:K535"/>
    <mergeCell ref="C536:E536"/>
    <mergeCell ref="I536:K536"/>
    <mergeCell ref="C537:E537"/>
    <mergeCell ref="J537:K537"/>
    <mergeCell ref="C532:E532"/>
    <mergeCell ref="J532:K532"/>
    <mergeCell ref="C533:E533"/>
    <mergeCell ref="H533:K533"/>
    <mergeCell ref="C534:E534"/>
    <mergeCell ref="I534:K534"/>
    <mergeCell ref="C529:E529"/>
    <mergeCell ref="G529:K529"/>
    <mergeCell ref="C530:E530"/>
    <mergeCell ref="H530:K530"/>
    <mergeCell ref="C531:E531"/>
    <mergeCell ref="I531:K531"/>
    <mergeCell ref="C526:E526"/>
    <mergeCell ref="I526:K526"/>
    <mergeCell ref="C527:E527"/>
    <mergeCell ref="J527:K527"/>
    <mergeCell ref="C528:E528"/>
    <mergeCell ref="J528:K528"/>
    <mergeCell ref="C523:E523"/>
    <mergeCell ref="J523:K523"/>
    <mergeCell ref="C524:E524"/>
    <mergeCell ref="I524:K524"/>
    <mergeCell ref="C525:E525"/>
    <mergeCell ref="J525:K525"/>
    <mergeCell ref="C520:E520"/>
    <mergeCell ref="J520:K520"/>
    <mergeCell ref="C521:E521"/>
    <mergeCell ref="J521:K521"/>
    <mergeCell ref="C522:E522"/>
    <mergeCell ref="J522:K522"/>
    <mergeCell ref="C517:E517"/>
    <mergeCell ref="J517:K517"/>
    <mergeCell ref="C518:E518"/>
    <mergeCell ref="I518:K518"/>
    <mergeCell ref="C519:E519"/>
    <mergeCell ref="J519:K519"/>
    <mergeCell ref="C514:E514"/>
    <mergeCell ref="I514:K514"/>
    <mergeCell ref="C515:E515"/>
    <mergeCell ref="J515:K515"/>
    <mergeCell ref="C516:E516"/>
    <mergeCell ref="I516:K516"/>
    <mergeCell ref="C511:E511"/>
    <mergeCell ref="I511:K511"/>
    <mergeCell ref="C512:E512"/>
    <mergeCell ref="J512:K512"/>
    <mergeCell ref="C513:E513"/>
    <mergeCell ref="J513:K513"/>
    <mergeCell ref="C508:E508"/>
    <mergeCell ref="H508:K508"/>
    <mergeCell ref="C509:E509"/>
    <mergeCell ref="I509:K509"/>
    <mergeCell ref="C510:E510"/>
    <mergeCell ref="J510:K510"/>
    <mergeCell ref="C505:E505"/>
    <mergeCell ref="H505:K505"/>
    <mergeCell ref="C506:E506"/>
    <mergeCell ref="I506:K506"/>
    <mergeCell ref="C507:E507"/>
    <mergeCell ref="J507:K507"/>
    <mergeCell ref="C502:E502"/>
    <mergeCell ref="I502:K502"/>
    <mergeCell ref="C503:E503"/>
    <mergeCell ref="J503:K503"/>
    <mergeCell ref="C504:E504"/>
    <mergeCell ref="G504:K504"/>
    <mergeCell ref="C499:E499"/>
    <mergeCell ref="J499:K499"/>
    <mergeCell ref="C500:E500"/>
    <mergeCell ref="I500:K500"/>
    <mergeCell ref="C501:E501"/>
    <mergeCell ref="J501:K501"/>
    <mergeCell ref="C496:E496"/>
    <mergeCell ref="I496:K496"/>
    <mergeCell ref="C497:E497"/>
    <mergeCell ref="J497:K497"/>
    <mergeCell ref="C498:E498"/>
    <mergeCell ref="I498:K498"/>
    <mergeCell ref="C493:E493"/>
    <mergeCell ref="J493:K493"/>
    <mergeCell ref="C494:E494"/>
    <mergeCell ref="I494:K494"/>
    <mergeCell ref="C495:E495"/>
    <mergeCell ref="J495:K495"/>
    <mergeCell ref="C490:E490"/>
    <mergeCell ref="J490:K490"/>
    <mergeCell ref="C491:E491"/>
    <mergeCell ref="H491:K491"/>
    <mergeCell ref="C492:E492"/>
    <mergeCell ref="I492:K492"/>
    <mergeCell ref="C487:E487"/>
    <mergeCell ref="G487:K487"/>
    <mergeCell ref="C488:E488"/>
    <mergeCell ref="H488:K488"/>
    <mergeCell ref="C489:E489"/>
    <mergeCell ref="I489:K489"/>
    <mergeCell ref="C484:E484"/>
    <mergeCell ref="I484:K484"/>
    <mergeCell ref="C485:E485"/>
    <mergeCell ref="J485:K485"/>
    <mergeCell ref="C486:E486"/>
    <mergeCell ref="J486:K486"/>
    <mergeCell ref="C481:E481"/>
    <mergeCell ref="J481:K481"/>
    <mergeCell ref="C482:E482"/>
    <mergeCell ref="I482:K482"/>
    <mergeCell ref="C483:E483"/>
    <mergeCell ref="J483:K483"/>
    <mergeCell ref="C478:E478"/>
    <mergeCell ref="I478:K478"/>
    <mergeCell ref="C479:E479"/>
    <mergeCell ref="J479:K479"/>
    <mergeCell ref="C480:E480"/>
    <mergeCell ref="I480:K480"/>
    <mergeCell ref="C475:E475"/>
    <mergeCell ref="I475:K475"/>
    <mergeCell ref="C476:E476"/>
    <mergeCell ref="J476:K476"/>
    <mergeCell ref="C477:E477"/>
    <mergeCell ref="H477:K477"/>
    <mergeCell ref="C472:E472"/>
    <mergeCell ref="J472:K472"/>
    <mergeCell ref="C473:E473"/>
    <mergeCell ref="G473:K473"/>
    <mergeCell ref="C474:E474"/>
    <mergeCell ref="H474:K474"/>
    <mergeCell ref="C469:E469"/>
    <mergeCell ref="J469:K469"/>
    <mergeCell ref="C470:E470"/>
    <mergeCell ref="I470:K470"/>
    <mergeCell ref="C471:E471"/>
    <mergeCell ref="J471:K471"/>
    <mergeCell ref="C466:E466"/>
    <mergeCell ref="I466:K466"/>
    <mergeCell ref="C467:E467"/>
    <mergeCell ref="J467:K467"/>
    <mergeCell ref="C468:E468"/>
    <mergeCell ref="I468:K468"/>
    <mergeCell ref="C463:E463"/>
    <mergeCell ref="H463:K463"/>
    <mergeCell ref="C464:E464"/>
    <mergeCell ref="I464:K464"/>
    <mergeCell ref="C465:E465"/>
    <mergeCell ref="J465:K465"/>
    <mergeCell ref="C460:E460"/>
    <mergeCell ref="J460:K460"/>
    <mergeCell ref="C461:E461"/>
    <mergeCell ref="I461:K461"/>
    <mergeCell ref="C462:E462"/>
    <mergeCell ref="J462:K462"/>
    <mergeCell ref="C457:E457"/>
    <mergeCell ref="G457:K457"/>
    <mergeCell ref="C458:E458"/>
    <mergeCell ref="H458:K458"/>
    <mergeCell ref="C459:E459"/>
    <mergeCell ref="I459:K459"/>
    <mergeCell ref="C454:E454"/>
    <mergeCell ref="J454:K454"/>
    <mergeCell ref="C455:E455"/>
    <mergeCell ref="I455:K455"/>
    <mergeCell ref="C456:E456"/>
    <mergeCell ref="J456:K456"/>
    <mergeCell ref="C451:E451"/>
    <mergeCell ref="I451:K451"/>
    <mergeCell ref="C452:E452"/>
    <mergeCell ref="J452:K452"/>
    <mergeCell ref="C453:E453"/>
    <mergeCell ref="I453:K453"/>
    <mergeCell ref="C448:E448"/>
    <mergeCell ref="H448:K448"/>
    <mergeCell ref="C449:E449"/>
    <mergeCell ref="I449:K449"/>
    <mergeCell ref="C450:E450"/>
    <mergeCell ref="J450:K450"/>
    <mergeCell ref="C445:E445"/>
    <mergeCell ref="H445:K445"/>
    <mergeCell ref="C446:E446"/>
    <mergeCell ref="I446:K446"/>
    <mergeCell ref="C447:E447"/>
    <mergeCell ref="J447:K447"/>
    <mergeCell ref="C442:E442"/>
    <mergeCell ref="J442:K442"/>
    <mergeCell ref="C443:E443"/>
    <mergeCell ref="F443:K443"/>
    <mergeCell ref="C444:E444"/>
    <mergeCell ref="G444:K444"/>
    <mergeCell ref="C439:E439"/>
    <mergeCell ref="J439:K439"/>
    <mergeCell ref="C440:E440"/>
    <mergeCell ref="H440:K440"/>
    <mergeCell ref="C441:E441"/>
    <mergeCell ref="I441:K441"/>
    <mergeCell ref="C436:E436"/>
    <mergeCell ref="J436:K436"/>
    <mergeCell ref="C437:E437"/>
    <mergeCell ref="J437:K437"/>
    <mergeCell ref="C438:E438"/>
    <mergeCell ref="I438:K438"/>
    <mergeCell ref="C433:E433"/>
    <mergeCell ref="I433:K433"/>
    <mergeCell ref="C434:E434"/>
    <mergeCell ref="J434:K434"/>
    <mergeCell ref="C435:E435"/>
    <mergeCell ref="I435:K435"/>
    <mergeCell ref="C430:E430"/>
    <mergeCell ref="J430:K430"/>
    <mergeCell ref="C431:E431"/>
    <mergeCell ref="I431:K431"/>
    <mergeCell ref="C432:E432"/>
    <mergeCell ref="J432:K432"/>
    <mergeCell ref="C427:E427"/>
    <mergeCell ref="I427:K427"/>
    <mergeCell ref="C428:E428"/>
    <mergeCell ref="J428:K428"/>
    <mergeCell ref="C429:E429"/>
    <mergeCell ref="J429:K429"/>
    <mergeCell ref="C424:E424"/>
    <mergeCell ref="I424:K424"/>
    <mergeCell ref="C425:E425"/>
    <mergeCell ref="J425:K425"/>
    <mergeCell ref="C426:E426"/>
    <mergeCell ref="J426:K426"/>
    <mergeCell ref="C421:E421"/>
    <mergeCell ref="H421:K421"/>
    <mergeCell ref="C422:E422"/>
    <mergeCell ref="I422:K422"/>
    <mergeCell ref="C423:E423"/>
    <mergeCell ref="J423:K423"/>
    <mergeCell ref="C418:E418"/>
    <mergeCell ref="H418:K418"/>
    <mergeCell ref="C419:E419"/>
    <mergeCell ref="I419:K419"/>
    <mergeCell ref="C420:E420"/>
    <mergeCell ref="J420:K420"/>
    <mergeCell ref="C415:E415"/>
    <mergeCell ref="J415:K415"/>
    <mergeCell ref="C416:E416"/>
    <mergeCell ref="F416:K416"/>
    <mergeCell ref="C417:E417"/>
    <mergeCell ref="G417:K417"/>
    <mergeCell ref="C412:E412"/>
    <mergeCell ref="J412:K412"/>
    <mergeCell ref="C413:E413"/>
    <mergeCell ref="J413:K413"/>
    <mergeCell ref="C414:E414"/>
    <mergeCell ref="I414:K414"/>
    <mergeCell ref="C409:E409"/>
    <mergeCell ref="I409:K409"/>
    <mergeCell ref="C410:E410"/>
    <mergeCell ref="J410:K410"/>
    <mergeCell ref="C411:E411"/>
    <mergeCell ref="I411:K411"/>
    <mergeCell ref="C406:E406"/>
    <mergeCell ref="I406:K406"/>
    <mergeCell ref="C407:E407"/>
    <mergeCell ref="J407:K407"/>
    <mergeCell ref="C408:E408"/>
    <mergeCell ref="J408:K408"/>
    <mergeCell ref="C403:E403"/>
    <mergeCell ref="I403:K403"/>
    <mergeCell ref="C404:E404"/>
    <mergeCell ref="J404:K404"/>
    <mergeCell ref="C405:E405"/>
    <mergeCell ref="J405:K405"/>
    <mergeCell ref="C400:E400"/>
    <mergeCell ref="H400:K400"/>
    <mergeCell ref="C401:E401"/>
    <mergeCell ref="I401:K401"/>
    <mergeCell ref="C402:E402"/>
    <mergeCell ref="J402:K402"/>
    <mergeCell ref="C397:E397"/>
    <mergeCell ref="I397:K397"/>
    <mergeCell ref="C398:E398"/>
    <mergeCell ref="J398:K398"/>
    <mergeCell ref="C399:E399"/>
    <mergeCell ref="J399:K399"/>
    <mergeCell ref="C394:E394"/>
    <mergeCell ref="J394:K394"/>
    <mergeCell ref="C395:E395"/>
    <mergeCell ref="G395:K395"/>
    <mergeCell ref="C396:E396"/>
    <mergeCell ref="H396:K396"/>
    <mergeCell ref="C391:E391"/>
    <mergeCell ref="J391:K391"/>
    <mergeCell ref="C392:E392"/>
    <mergeCell ref="I392:K392"/>
    <mergeCell ref="C393:E393"/>
    <mergeCell ref="J393:K393"/>
    <mergeCell ref="C388:E388"/>
    <mergeCell ref="J388:K388"/>
    <mergeCell ref="C389:E389"/>
    <mergeCell ref="J389:K389"/>
    <mergeCell ref="C390:E390"/>
    <mergeCell ref="I390:K390"/>
    <mergeCell ref="C385:E385"/>
    <mergeCell ref="J385:K385"/>
    <mergeCell ref="C386:E386"/>
    <mergeCell ref="J386:K386"/>
    <mergeCell ref="C387:E387"/>
    <mergeCell ref="I387:K387"/>
    <mergeCell ref="C382:E382"/>
    <mergeCell ref="J382:K382"/>
    <mergeCell ref="C383:E383"/>
    <mergeCell ref="J383:K383"/>
    <mergeCell ref="C384:E384"/>
    <mergeCell ref="I384:K384"/>
    <mergeCell ref="C379:E379"/>
    <mergeCell ref="I379:K379"/>
    <mergeCell ref="C380:E380"/>
    <mergeCell ref="J380:K380"/>
    <mergeCell ref="C381:E381"/>
    <mergeCell ref="I381:K381"/>
    <mergeCell ref="C376:E376"/>
    <mergeCell ref="I376:K376"/>
    <mergeCell ref="C377:E377"/>
    <mergeCell ref="J377:K377"/>
    <mergeCell ref="C378:E378"/>
    <mergeCell ref="H378:K378"/>
    <mergeCell ref="C373:E373"/>
    <mergeCell ref="J373:K373"/>
    <mergeCell ref="C374:E374"/>
    <mergeCell ref="G374:K374"/>
    <mergeCell ref="C375:E375"/>
    <mergeCell ref="H375:K375"/>
    <mergeCell ref="C370:E370"/>
    <mergeCell ref="J370:K370"/>
    <mergeCell ref="C371:E371"/>
    <mergeCell ref="J371:K371"/>
    <mergeCell ref="C372:E372"/>
    <mergeCell ref="I372:K372"/>
    <mergeCell ref="C367:E367"/>
    <mergeCell ref="I367:K367"/>
    <mergeCell ref="C368:E368"/>
    <mergeCell ref="J368:K368"/>
    <mergeCell ref="C369:E369"/>
    <mergeCell ref="I369:K369"/>
    <mergeCell ref="C364:E364"/>
    <mergeCell ref="I364:K364"/>
    <mergeCell ref="C365:E365"/>
    <mergeCell ref="J365:K365"/>
    <mergeCell ref="C366:E366"/>
    <mergeCell ref="J366:K366"/>
    <mergeCell ref="C361:E361"/>
    <mergeCell ref="I361:K361"/>
    <mergeCell ref="C362:E362"/>
    <mergeCell ref="J362:K362"/>
    <mergeCell ref="C363:E363"/>
    <mergeCell ref="J363:K363"/>
    <mergeCell ref="C358:E358"/>
    <mergeCell ref="J358:K358"/>
    <mergeCell ref="C359:E359"/>
    <mergeCell ref="I359:K359"/>
    <mergeCell ref="C360:E360"/>
    <mergeCell ref="J360:K360"/>
    <mergeCell ref="C355:E355"/>
    <mergeCell ref="J355:K355"/>
    <mergeCell ref="C356:E356"/>
    <mergeCell ref="H356:K356"/>
    <mergeCell ref="C357:E357"/>
    <mergeCell ref="I357:K357"/>
    <mergeCell ref="C352:E352"/>
    <mergeCell ref="H352:K352"/>
    <mergeCell ref="C353:E353"/>
    <mergeCell ref="I353:K353"/>
    <mergeCell ref="C354:E354"/>
    <mergeCell ref="J354:K354"/>
    <mergeCell ref="C349:E349"/>
    <mergeCell ref="I349:K349"/>
    <mergeCell ref="C350:E350"/>
    <mergeCell ref="J350:K350"/>
    <mergeCell ref="C351:E351"/>
    <mergeCell ref="G351:K351"/>
    <mergeCell ref="C346:E346"/>
    <mergeCell ref="I346:K346"/>
    <mergeCell ref="C347:E347"/>
    <mergeCell ref="J347:K347"/>
    <mergeCell ref="C348:E348"/>
    <mergeCell ref="J348:K348"/>
    <mergeCell ref="C343:E343"/>
    <mergeCell ref="J343:K343"/>
    <mergeCell ref="C344:E344"/>
    <mergeCell ref="I344:K344"/>
    <mergeCell ref="C345:E345"/>
    <mergeCell ref="J345:K345"/>
    <mergeCell ref="C340:E340"/>
    <mergeCell ref="J340:K340"/>
    <mergeCell ref="C341:E341"/>
    <mergeCell ref="I341:K341"/>
    <mergeCell ref="C342:E342"/>
    <mergeCell ref="J342:K342"/>
    <mergeCell ref="C337:E337"/>
    <mergeCell ref="I337:K337"/>
    <mergeCell ref="C338:E338"/>
    <mergeCell ref="J338:K338"/>
    <mergeCell ref="C339:E339"/>
    <mergeCell ref="I339:K339"/>
    <mergeCell ref="C334:E334"/>
    <mergeCell ref="H334:K334"/>
    <mergeCell ref="C335:E335"/>
    <mergeCell ref="I335:K335"/>
    <mergeCell ref="C336:E336"/>
    <mergeCell ref="J336:K336"/>
    <mergeCell ref="C331:E331"/>
    <mergeCell ref="I331:K331"/>
    <mergeCell ref="C332:E332"/>
    <mergeCell ref="J332:K332"/>
    <mergeCell ref="C333:E333"/>
    <mergeCell ref="J333:K333"/>
    <mergeCell ref="C328:E328"/>
    <mergeCell ref="J328:K328"/>
    <mergeCell ref="C329:E329"/>
    <mergeCell ref="G329:K329"/>
    <mergeCell ref="C330:E330"/>
    <mergeCell ref="H330:K330"/>
    <mergeCell ref="C325:E325"/>
    <mergeCell ref="J325:K325"/>
    <mergeCell ref="C326:E326"/>
    <mergeCell ref="J326:K326"/>
    <mergeCell ref="C327:E327"/>
    <mergeCell ref="I327:K327"/>
    <mergeCell ref="C322:E322"/>
    <mergeCell ref="I322:K322"/>
    <mergeCell ref="C323:E323"/>
    <mergeCell ref="J323:K323"/>
    <mergeCell ref="C324:E324"/>
    <mergeCell ref="I324:K324"/>
    <mergeCell ref="C319:E319"/>
    <mergeCell ref="I319:K319"/>
    <mergeCell ref="C320:E320"/>
    <mergeCell ref="J320:K320"/>
    <mergeCell ref="C321:E321"/>
    <mergeCell ref="J321:K321"/>
    <mergeCell ref="C316:E316"/>
    <mergeCell ref="I316:K316"/>
    <mergeCell ref="C317:E317"/>
    <mergeCell ref="J317:K317"/>
    <mergeCell ref="C318:E318"/>
    <mergeCell ref="J318:K318"/>
    <mergeCell ref="C313:E313"/>
    <mergeCell ref="H313:K313"/>
    <mergeCell ref="C314:E314"/>
    <mergeCell ref="I314:K314"/>
    <mergeCell ref="C315:E315"/>
    <mergeCell ref="J315:K315"/>
    <mergeCell ref="C310:E310"/>
    <mergeCell ref="H310:K310"/>
    <mergeCell ref="C311:E311"/>
    <mergeCell ref="I311:K311"/>
    <mergeCell ref="C312:E312"/>
    <mergeCell ref="J312:K312"/>
    <mergeCell ref="C307:E307"/>
    <mergeCell ref="I307:K307"/>
    <mergeCell ref="C308:E308"/>
    <mergeCell ref="J308:K308"/>
    <mergeCell ref="C309:E309"/>
    <mergeCell ref="G309:K309"/>
    <mergeCell ref="C304:E304"/>
    <mergeCell ref="I304:K304"/>
    <mergeCell ref="C305:E305"/>
    <mergeCell ref="J305:K305"/>
    <mergeCell ref="C306:E306"/>
    <mergeCell ref="J306:K306"/>
    <mergeCell ref="C301:E301"/>
    <mergeCell ref="J301:K301"/>
    <mergeCell ref="C302:E302"/>
    <mergeCell ref="I302:K302"/>
    <mergeCell ref="C303:E303"/>
    <mergeCell ref="J303:K303"/>
    <mergeCell ref="C298:E298"/>
    <mergeCell ref="I298:K298"/>
    <mergeCell ref="C299:E299"/>
    <mergeCell ref="J299:K299"/>
    <mergeCell ref="C300:E300"/>
    <mergeCell ref="I300:K300"/>
    <mergeCell ref="C295:E295"/>
    <mergeCell ref="H295:K295"/>
    <mergeCell ref="C296:E296"/>
    <mergeCell ref="I296:K296"/>
    <mergeCell ref="C297:E297"/>
    <mergeCell ref="J297:K297"/>
    <mergeCell ref="C292:E292"/>
    <mergeCell ref="H292:K292"/>
    <mergeCell ref="C293:E293"/>
    <mergeCell ref="I293:K293"/>
    <mergeCell ref="C294:E294"/>
    <mergeCell ref="J294:K294"/>
    <mergeCell ref="C289:E289"/>
    <mergeCell ref="J289:K289"/>
    <mergeCell ref="C290:E290"/>
    <mergeCell ref="F290:K290"/>
    <mergeCell ref="C291:E291"/>
    <mergeCell ref="G291:K291"/>
    <mergeCell ref="C286:E286"/>
    <mergeCell ref="J286:K286"/>
    <mergeCell ref="C287:E287"/>
    <mergeCell ref="J287:K287"/>
    <mergeCell ref="C288:E288"/>
    <mergeCell ref="I288:K288"/>
    <mergeCell ref="C283:E283"/>
    <mergeCell ref="I283:K283"/>
    <mergeCell ref="C284:E284"/>
    <mergeCell ref="J284:K284"/>
    <mergeCell ref="C285:E285"/>
    <mergeCell ref="I285:K285"/>
    <mergeCell ref="C280:E280"/>
    <mergeCell ref="J280:K280"/>
    <mergeCell ref="C281:E281"/>
    <mergeCell ref="I281:K281"/>
    <mergeCell ref="C282:E282"/>
    <mergeCell ref="J282:K282"/>
    <mergeCell ref="C277:E277"/>
    <mergeCell ref="J277:K277"/>
    <mergeCell ref="C278:E278"/>
    <mergeCell ref="I278:K278"/>
    <mergeCell ref="C279:E279"/>
    <mergeCell ref="J279:K279"/>
    <mergeCell ref="C274:E274"/>
    <mergeCell ref="J274:K274"/>
    <mergeCell ref="C275:E275"/>
    <mergeCell ref="H275:K275"/>
    <mergeCell ref="C276:E276"/>
    <mergeCell ref="I276:K276"/>
    <mergeCell ref="C271:E271"/>
    <mergeCell ref="G271:K271"/>
    <mergeCell ref="C272:E272"/>
    <mergeCell ref="H272:K272"/>
    <mergeCell ref="C273:E273"/>
    <mergeCell ref="I273:K273"/>
    <mergeCell ref="C268:E268"/>
    <mergeCell ref="I268:K268"/>
    <mergeCell ref="C269:E269"/>
    <mergeCell ref="J269:K269"/>
    <mergeCell ref="C270:E270"/>
    <mergeCell ref="F270:K270"/>
    <mergeCell ref="C265:E265"/>
    <mergeCell ref="I265:K265"/>
    <mergeCell ref="C266:E266"/>
    <mergeCell ref="J266:K266"/>
    <mergeCell ref="C267:E267"/>
    <mergeCell ref="J267:K267"/>
    <mergeCell ref="C262:E262"/>
    <mergeCell ref="J262:K262"/>
    <mergeCell ref="C263:E263"/>
    <mergeCell ref="I263:K263"/>
    <mergeCell ref="C264:E264"/>
    <mergeCell ref="J264:K264"/>
    <mergeCell ref="C259:E259"/>
    <mergeCell ref="J259:K259"/>
    <mergeCell ref="C260:E260"/>
    <mergeCell ref="J260:K260"/>
    <mergeCell ref="C261:E261"/>
    <mergeCell ref="I261:K261"/>
    <mergeCell ref="C256:E256"/>
    <mergeCell ref="I256:K256"/>
    <mergeCell ref="C257:E257"/>
    <mergeCell ref="J257:K257"/>
    <mergeCell ref="C258:E258"/>
    <mergeCell ref="I258:K258"/>
    <mergeCell ref="C253:E253"/>
    <mergeCell ref="H253:K253"/>
    <mergeCell ref="C254:E254"/>
    <mergeCell ref="I254:K254"/>
    <mergeCell ref="C255:E255"/>
    <mergeCell ref="J255:K255"/>
    <mergeCell ref="C250:E250"/>
    <mergeCell ref="I250:K250"/>
    <mergeCell ref="C251:E251"/>
    <mergeCell ref="J251:K251"/>
    <mergeCell ref="C252:E252"/>
    <mergeCell ref="J252:K252"/>
    <mergeCell ref="C247:E247"/>
    <mergeCell ref="J247:K247"/>
    <mergeCell ref="C248:E248"/>
    <mergeCell ref="G248:K248"/>
    <mergeCell ref="C249:E249"/>
    <mergeCell ref="H249:K249"/>
    <mergeCell ref="C244:E244"/>
    <mergeCell ref="J244:K244"/>
    <mergeCell ref="C245:E245"/>
    <mergeCell ref="J245:K245"/>
    <mergeCell ref="C246:E246"/>
    <mergeCell ref="I246:K246"/>
    <mergeCell ref="C241:E241"/>
    <mergeCell ref="I241:K241"/>
    <mergeCell ref="C242:E242"/>
    <mergeCell ref="J242:K242"/>
    <mergeCell ref="C243:E243"/>
    <mergeCell ref="I243:K243"/>
    <mergeCell ref="C238:E238"/>
    <mergeCell ref="I238:K238"/>
    <mergeCell ref="C239:E239"/>
    <mergeCell ref="J239:K239"/>
    <mergeCell ref="C240:E240"/>
    <mergeCell ref="J240:K240"/>
    <mergeCell ref="C235:E235"/>
    <mergeCell ref="I235:K235"/>
    <mergeCell ref="C236:E236"/>
    <mergeCell ref="J236:K236"/>
    <mergeCell ref="C237:E237"/>
    <mergeCell ref="J237:K237"/>
    <mergeCell ref="C232:E232"/>
    <mergeCell ref="J232:K232"/>
    <mergeCell ref="C233:E233"/>
    <mergeCell ref="I233:K233"/>
    <mergeCell ref="C234:E234"/>
    <mergeCell ref="J234:K234"/>
    <mergeCell ref="C229:E229"/>
    <mergeCell ref="J229:K229"/>
    <mergeCell ref="C230:E230"/>
    <mergeCell ref="H230:K230"/>
    <mergeCell ref="C231:E231"/>
    <mergeCell ref="I231:K231"/>
    <mergeCell ref="C226:E226"/>
    <mergeCell ref="H226:K226"/>
    <mergeCell ref="C227:E227"/>
    <mergeCell ref="I227:K227"/>
    <mergeCell ref="C228:E228"/>
    <mergeCell ref="J228:K228"/>
    <mergeCell ref="C223:E223"/>
    <mergeCell ref="I223:K223"/>
    <mergeCell ref="C224:E224"/>
    <mergeCell ref="J224:K224"/>
    <mergeCell ref="C225:E225"/>
    <mergeCell ref="G225:K225"/>
    <mergeCell ref="C220:E220"/>
    <mergeCell ref="J220:K220"/>
    <mergeCell ref="C221:E221"/>
    <mergeCell ref="G221:K221"/>
    <mergeCell ref="C222:E222"/>
    <mergeCell ref="H222:K222"/>
    <mergeCell ref="C217:E217"/>
    <mergeCell ref="I217:K217"/>
    <mergeCell ref="C218:E218"/>
    <mergeCell ref="J218:K218"/>
    <mergeCell ref="C219:E219"/>
    <mergeCell ref="I219:K219"/>
    <mergeCell ref="C214:E214"/>
    <mergeCell ref="J214:K214"/>
    <mergeCell ref="C215:E215"/>
    <mergeCell ref="I215:K215"/>
    <mergeCell ref="C216:E216"/>
    <mergeCell ref="J216:K216"/>
    <mergeCell ref="C211:E211"/>
    <mergeCell ref="J211:K211"/>
    <mergeCell ref="C212:E212"/>
    <mergeCell ref="I212:K212"/>
    <mergeCell ref="C213:E213"/>
    <mergeCell ref="J213:K213"/>
    <mergeCell ref="C208:E208"/>
    <mergeCell ref="I208:K208"/>
    <mergeCell ref="C209:E209"/>
    <mergeCell ref="J209:K209"/>
    <mergeCell ref="C210:E210"/>
    <mergeCell ref="I210:K210"/>
    <mergeCell ref="C205:E205"/>
    <mergeCell ref="H205:K205"/>
    <mergeCell ref="C206:E206"/>
    <mergeCell ref="I206:K206"/>
    <mergeCell ref="C207:E207"/>
    <mergeCell ref="J207:K207"/>
    <mergeCell ref="C202:E202"/>
    <mergeCell ref="I202:K202"/>
    <mergeCell ref="C203:E203"/>
    <mergeCell ref="J203:K203"/>
    <mergeCell ref="C204:E204"/>
    <mergeCell ref="J204:K204"/>
    <mergeCell ref="C199:E199"/>
    <mergeCell ref="J199:K199"/>
    <mergeCell ref="C200:E200"/>
    <mergeCell ref="G200:K200"/>
    <mergeCell ref="C201:E201"/>
    <mergeCell ref="H201:K201"/>
    <mergeCell ref="C196:E196"/>
    <mergeCell ref="J196:K196"/>
    <mergeCell ref="C197:E197"/>
    <mergeCell ref="I197:K197"/>
    <mergeCell ref="C198:E198"/>
    <mergeCell ref="J198:K198"/>
    <mergeCell ref="C193:E193"/>
    <mergeCell ref="G193:K193"/>
    <mergeCell ref="C194:E194"/>
    <mergeCell ref="H194:K194"/>
    <mergeCell ref="C195:E195"/>
    <mergeCell ref="I195:K195"/>
    <mergeCell ref="C190:E190"/>
    <mergeCell ref="J190:K190"/>
    <mergeCell ref="C191:E191"/>
    <mergeCell ref="J191:K191"/>
    <mergeCell ref="C192:E192"/>
    <mergeCell ref="F192:K192"/>
    <mergeCell ref="C187:E187"/>
    <mergeCell ref="I187:K187"/>
    <mergeCell ref="C188:E188"/>
    <mergeCell ref="J188:K188"/>
    <mergeCell ref="C189:E189"/>
    <mergeCell ref="I189:K189"/>
    <mergeCell ref="C184:E184"/>
    <mergeCell ref="J184:K184"/>
    <mergeCell ref="C185:E185"/>
    <mergeCell ref="I185:K185"/>
    <mergeCell ref="C186:E186"/>
    <mergeCell ref="J186:K186"/>
    <mergeCell ref="C181:E181"/>
    <mergeCell ref="J181:K181"/>
    <mergeCell ref="C182:E182"/>
    <mergeCell ref="I182:K182"/>
    <mergeCell ref="C183:E183"/>
    <mergeCell ref="J183:K183"/>
    <mergeCell ref="C178:E178"/>
    <mergeCell ref="I178:K178"/>
    <mergeCell ref="C179:E179"/>
    <mergeCell ref="J179:K179"/>
    <mergeCell ref="C180:E180"/>
    <mergeCell ref="J180:K180"/>
    <mergeCell ref="C175:E175"/>
    <mergeCell ref="I175:K175"/>
    <mergeCell ref="C176:E176"/>
    <mergeCell ref="J176:K176"/>
    <mergeCell ref="C177:E177"/>
    <mergeCell ref="J177:K177"/>
    <mergeCell ref="C172:E172"/>
    <mergeCell ref="I172:K172"/>
    <mergeCell ref="C173:E173"/>
    <mergeCell ref="J173:K173"/>
    <mergeCell ref="C174:E174"/>
    <mergeCell ref="H174:K174"/>
    <mergeCell ref="C169:E169"/>
    <mergeCell ref="H169:K169"/>
    <mergeCell ref="C170:E170"/>
    <mergeCell ref="I170:K170"/>
    <mergeCell ref="C171:E171"/>
    <mergeCell ref="J171:K171"/>
    <mergeCell ref="C166:E166"/>
    <mergeCell ref="J166:K166"/>
    <mergeCell ref="C167:E167"/>
    <mergeCell ref="J167:K167"/>
    <mergeCell ref="C168:E168"/>
    <mergeCell ref="G168:K168"/>
    <mergeCell ref="C163:E163"/>
    <mergeCell ref="I163:K163"/>
    <mergeCell ref="C164:E164"/>
    <mergeCell ref="J164:K164"/>
    <mergeCell ref="C165:E165"/>
    <mergeCell ref="I165:K165"/>
    <mergeCell ref="C160:E160"/>
    <mergeCell ref="I160:K160"/>
    <mergeCell ref="C161:E161"/>
    <mergeCell ref="J161:K161"/>
    <mergeCell ref="C162:E162"/>
    <mergeCell ref="J162:K162"/>
    <mergeCell ref="C157:E157"/>
    <mergeCell ref="I157:K157"/>
    <mergeCell ref="C158:E158"/>
    <mergeCell ref="J158:K158"/>
    <mergeCell ref="C159:E159"/>
    <mergeCell ref="J159:K159"/>
    <mergeCell ref="C154:E154"/>
    <mergeCell ref="F154:K154"/>
    <mergeCell ref="C155:E155"/>
    <mergeCell ref="G155:K155"/>
    <mergeCell ref="C156:E156"/>
    <mergeCell ref="H156:K156"/>
    <mergeCell ref="C151:E151"/>
    <mergeCell ref="I151:K151"/>
    <mergeCell ref="C152:E152"/>
    <mergeCell ref="J152:K152"/>
    <mergeCell ref="C153:E153"/>
    <mergeCell ref="J153:K153"/>
    <mergeCell ref="C148:E148"/>
    <mergeCell ref="J148:K148"/>
    <mergeCell ref="C149:E149"/>
    <mergeCell ref="I149:K149"/>
    <mergeCell ref="C150:E150"/>
    <mergeCell ref="J150:K150"/>
    <mergeCell ref="C145:E145"/>
    <mergeCell ref="J145:K145"/>
    <mergeCell ref="C146:E146"/>
    <mergeCell ref="I146:K146"/>
    <mergeCell ref="C147:E147"/>
    <mergeCell ref="J147:K147"/>
    <mergeCell ref="C142:E142"/>
    <mergeCell ref="J142:K142"/>
    <mergeCell ref="C143:E143"/>
    <mergeCell ref="H143:K143"/>
    <mergeCell ref="C144:E144"/>
    <mergeCell ref="I144:K144"/>
    <mergeCell ref="C139:E139"/>
    <mergeCell ref="I139:K139"/>
    <mergeCell ref="C140:E140"/>
    <mergeCell ref="J140:K140"/>
    <mergeCell ref="C141:E141"/>
    <mergeCell ref="I141:K141"/>
    <mergeCell ref="C136:E136"/>
    <mergeCell ref="F136:K136"/>
    <mergeCell ref="C137:E137"/>
    <mergeCell ref="G137:K137"/>
    <mergeCell ref="C138:E138"/>
    <mergeCell ref="H138:K138"/>
    <mergeCell ref="C133:E133"/>
    <mergeCell ref="J133:K133"/>
    <mergeCell ref="C134:E134"/>
    <mergeCell ref="I134:K134"/>
    <mergeCell ref="C135:E135"/>
    <mergeCell ref="J135:K135"/>
    <mergeCell ref="C130:E130"/>
    <mergeCell ref="I130:K130"/>
    <mergeCell ref="C131:E131"/>
    <mergeCell ref="J131:K131"/>
    <mergeCell ref="C132:E132"/>
    <mergeCell ref="I132:K132"/>
    <mergeCell ref="C127:E127"/>
    <mergeCell ref="H127:K127"/>
    <mergeCell ref="C128:E128"/>
    <mergeCell ref="I128:K128"/>
    <mergeCell ref="C129:E129"/>
    <mergeCell ref="J129:K129"/>
    <mergeCell ref="C124:E124"/>
    <mergeCell ref="H124:K124"/>
    <mergeCell ref="C125:E125"/>
    <mergeCell ref="I125:K125"/>
    <mergeCell ref="C126:E126"/>
    <mergeCell ref="J126:K126"/>
    <mergeCell ref="C121:E121"/>
    <mergeCell ref="J121:K121"/>
    <mergeCell ref="C122:E122"/>
    <mergeCell ref="F122:K122"/>
    <mergeCell ref="C123:E123"/>
    <mergeCell ref="G123:K123"/>
    <mergeCell ref="C118:E118"/>
    <mergeCell ref="G118:K118"/>
    <mergeCell ref="C119:E119"/>
    <mergeCell ref="H119:K119"/>
    <mergeCell ref="C120:E120"/>
    <mergeCell ref="I120:K120"/>
    <mergeCell ref="C115:E115"/>
    <mergeCell ref="H115:K115"/>
    <mergeCell ref="C116:E116"/>
    <mergeCell ref="I116:K116"/>
    <mergeCell ref="C117:E117"/>
    <mergeCell ref="J117:K117"/>
    <mergeCell ref="C112:E112"/>
    <mergeCell ref="I112:K112"/>
    <mergeCell ref="C113:E113"/>
    <mergeCell ref="J113:K113"/>
    <mergeCell ref="C114:E114"/>
    <mergeCell ref="G114:K114"/>
    <mergeCell ref="C109:E109"/>
    <mergeCell ref="J109:K109"/>
    <mergeCell ref="C110:E110"/>
    <mergeCell ref="G110:K110"/>
    <mergeCell ref="C111:E111"/>
    <mergeCell ref="H111:K111"/>
    <mergeCell ref="C106:E106"/>
    <mergeCell ref="J106:K106"/>
    <mergeCell ref="C107:E107"/>
    <mergeCell ref="J107:K107"/>
    <mergeCell ref="C108:E108"/>
    <mergeCell ref="J108:K108"/>
    <mergeCell ref="C103:E103"/>
    <mergeCell ref="H103:K103"/>
    <mergeCell ref="C104:E104"/>
    <mergeCell ref="I104:K104"/>
    <mergeCell ref="C105:E105"/>
    <mergeCell ref="J105:K105"/>
    <mergeCell ref="C100:E100"/>
    <mergeCell ref="I100:K100"/>
    <mergeCell ref="C101:E101"/>
    <mergeCell ref="J101:K101"/>
    <mergeCell ref="C102:E102"/>
    <mergeCell ref="G102:K102"/>
    <mergeCell ref="C97:E97"/>
    <mergeCell ref="J97:K97"/>
    <mergeCell ref="C98:E98"/>
    <mergeCell ref="I98:K98"/>
    <mergeCell ref="C99:E99"/>
    <mergeCell ref="J99:K99"/>
    <mergeCell ref="C94:E94"/>
    <mergeCell ref="J94:K94"/>
    <mergeCell ref="C95:E95"/>
    <mergeCell ref="I95:K95"/>
    <mergeCell ref="C96:E96"/>
    <mergeCell ref="J96:K96"/>
    <mergeCell ref="C91:E91"/>
    <mergeCell ref="J91:K91"/>
    <mergeCell ref="C92:E92"/>
    <mergeCell ref="J92:K92"/>
    <mergeCell ref="C93:E93"/>
    <mergeCell ref="I93:K93"/>
    <mergeCell ref="C88:E88"/>
    <mergeCell ref="G88:K88"/>
    <mergeCell ref="C89:E89"/>
    <mergeCell ref="H89:K89"/>
    <mergeCell ref="C90:E90"/>
    <mergeCell ref="I90:K90"/>
    <mergeCell ref="C85:E85"/>
    <mergeCell ref="I85:K85"/>
    <mergeCell ref="C86:E86"/>
    <mergeCell ref="J86:K86"/>
    <mergeCell ref="C87:E87"/>
    <mergeCell ref="F87:K87"/>
    <mergeCell ref="C82:E82"/>
    <mergeCell ref="J82:K82"/>
    <mergeCell ref="C83:E83"/>
    <mergeCell ref="I83:K83"/>
    <mergeCell ref="C84:E84"/>
    <mergeCell ref="J84:K84"/>
    <mergeCell ref="C79:E79"/>
    <mergeCell ref="I79:K79"/>
    <mergeCell ref="C80:E80"/>
    <mergeCell ref="J80:K80"/>
    <mergeCell ref="C81:E81"/>
    <mergeCell ref="I81:K81"/>
    <mergeCell ref="C76:E76"/>
    <mergeCell ref="J76:K76"/>
    <mergeCell ref="C77:E77"/>
    <mergeCell ref="G77:K77"/>
    <mergeCell ref="C78:E78"/>
    <mergeCell ref="H78:K78"/>
    <mergeCell ref="C73:E73"/>
    <mergeCell ref="I73:K73"/>
    <mergeCell ref="C74:E74"/>
    <mergeCell ref="J74:K74"/>
    <mergeCell ref="C75:E75"/>
    <mergeCell ref="I75:K75"/>
    <mergeCell ref="C70:E70"/>
    <mergeCell ref="H70:K70"/>
    <mergeCell ref="C71:E71"/>
    <mergeCell ref="I71:K71"/>
    <mergeCell ref="C72:E72"/>
    <mergeCell ref="J72:K72"/>
    <mergeCell ref="C67:E67"/>
    <mergeCell ref="I67:K67"/>
    <mergeCell ref="C68:E68"/>
    <mergeCell ref="J68:K68"/>
    <mergeCell ref="C69:E69"/>
    <mergeCell ref="G69:K69"/>
    <mergeCell ref="C64:E64"/>
    <mergeCell ref="J64:K64"/>
    <mergeCell ref="C65:E65"/>
    <mergeCell ref="I65:K65"/>
    <mergeCell ref="C66:E66"/>
    <mergeCell ref="J66:K66"/>
    <mergeCell ref="C61:E61"/>
    <mergeCell ref="J61:K61"/>
    <mergeCell ref="C62:E62"/>
    <mergeCell ref="J62:K62"/>
    <mergeCell ref="C63:E63"/>
    <mergeCell ref="I63:K63"/>
    <mergeCell ref="C58:E58"/>
    <mergeCell ref="J58:K58"/>
    <mergeCell ref="C59:E59"/>
    <mergeCell ref="H59:K59"/>
    <mergeCell ref="C60:E60"/>
    <mergeCell ref="I60:K60"/>
    <mergeCell ref="C55:E55"/>
    <mergeCell ref="I55:K55"/>
    <mergeCell ref="C56:E56"/>
    <mergeCell ref="J56:K56"/>
    <mergeCell ref="C57:E57"/>
    <mergeCell ref="I57:K57"/>
    <mergeCell ref="C52:E52"/>
    <mergeCell ref="J52:K52"/>
    <mergeCell ref="C53:E53"/>
    <mergeCell ref="G53:K53"/>
    <mergeCell ref="C54:E54"/>
    <mergeCell ref="H54:K54"/>
    <mergeCell ref="C49:E49"/>
    <mergeCell ref="J49:K49"/>
    <mergeCell ref="C50:E50"/>
    <mergeCell ref="J50:K50"/>
    <mergeCell ref="C51:E51"/>
    <mergeCell ref="J51:K51"/>
    <mergeCell ref="C46:E46"/>
    <mergeCell ref="H46:K46"/>
    <mergeCell ref="C47:E47"/>
    <mergeCell ref="I47:K47"/>
    <mergeCell ref="C48:E48"/>
    <mergeCell ref="J48:K48"/>
    <mergeCell ref="C43:E43"/>
    <mergeCell ref="I43:K43"/>
    <mergeCell ref="C44:E44"/>
    <mergeCell ref="J44:K44"/>
    <mergeCell ref="C45:E45"/>
    <mergeCell ref="G45:K45"/>
    <mergeCell ref="C40:E40"/>
    <mergeCell ref="I40:K40"/>
    <mergeCell ref="C41:E41"/>
    <mergeCell ref="J41:K41"/>
    <mergeCell ref="C42:E42"/>
    <mergeCell ref="J42:K42"/>
    <mergeCell ref="C37:E37"/>
    <mergeCell ref="I37:K37"/>
    <mergeCell ref="C38:E38"/>
    <mergeCell ref="J38:K38"/>
    <mergeCell ref="C39:E39"/>
    <mergeCell ref="J39:K39"/>
    <mergeCell ref="C34:E34"/>
    <mergeCell ref="F34:K34"/>
    <mergeCell ref="C35:E35"/>
    <mergeCell ref="G35:K35"/>
    <mergeCell ref="C36:E36"/>
    <mergeCell ref="H36:K36"/>
    <mergeCell ref="C30:E30"/>
    <mergeCell ref="H30:K30"/>
    <mergeCell ref="C32:E32"/>
    <mergeCell ref="H32:K32"/>
    <mergeCell ref="C33:E33"/>
    <mergeCell ref="F33:K33"/>
    <mergeCell ref="C27:E27"/>
    <mergeCell ref="G27:K27"/>
    <mergeCell ref="C28:E28"/>
    <mergeCell ref="H28:K28"/>
    <mergeCell ref="C29:E29"/>
    <mergeCell ref="G29:K29"/>
    <mergeCell ref="C24:E24"/>
    <mergeCell ref="H24:K24"/>
    <mergeCell ref="C25:E25"/>
    <mergeCell ref="H25:K25"/>
    <mergeCell ref="C26:E26"/>
    <mergeCell ref="H26:K26"/>
    <mergeCell ref="C21:E21"/>
    <mergeCell ref="H21:K21"/>
    <mergeCell ref="C22:E22"/>
    <mergeCell ref="H22:K22"/>
    <mergeCell ref="C23:E23"/>
    <mergeCell ref="H23:K23"/>
    <mergeCell ref="C10:E10"/>
    <mergeCell ref="F10:K10"/>
    <mergeCell ref="D3:AY3"/>
    <mergeCell ref="D4:AY4"/>
    <mergeCell ref="D5:AY5"/>
    <mergeCell ref="C18:E18"/>
    <mergeCell ref="H18:K18"/>
    <mergeCell ref="C19:E19"/>
    <mergeCell ref="H19:K19"/>
    <mergeCell ref="C20:E20"/>
    <mergeCell ref="H20:K20"/>
    <mergeCell ref="C15:E15"/>
    <mergeCell ref="F15:K15"/>
    <mergeCell ref="C16:E16"/>
    <mergeCell ref="G16:K16"/>
    <mergeCell ref="C17:E17"/>
    <mergeCell ref="H17:K17"/>
    <mergeCell ref="C11:E11"/>
    <mergeCell ref="F11:K11"/>
    <mergeCell ref="C12:E12"/>
    <mergeCell ref="H12:K12"/>
    <mergeCell ref="C13:E13"/>
    <mergeCell ref="H13:K13"/>
  </mergeCells>
  <pageMargins left="0.16597222222222199" right="0.16597222222222199" top="0.16597222222222199" bottom="0.16597222222222199" header="0" footer="0"/>
  <pageSetup paperSize="258" scale="70" fitToWidth="0" fitToHeight="0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D687"/>
  <sheetViews>
    <sheetView tabSelected="1" topLeftCell="A4" zoomScale="110" zoomScaleNormal="110" zoomScaleSheetLayoutView="115" workbookViewId="0">
      <selection activeCell="D124" sqref="D124"/>
    </sheetView>
  </sheetViews>
  <sheetFormatPr defaultRowHeight="15"/>
  <cols>
    <col min="1" max="1" width="5.85546875" style="96" customWidth="1"/>
    <col min="2" max="2" width="18.42578125" style="96" customWidth="1"/>
    <col min="3" max="3" width="48" style="96" customWidth="1"/>
    <col min="4" max="4" width="19.28515625" style="189" customWidth="1"/>
    <col min="5" max="16384" width="9.140625" style="96"/>
  </cols>
  <sheetData>
    <row r="1" spans="1:4" ht="20.25">
      <c r="A1" s="126"/>
      <c r="B1" s="127" t="s">
        <v>1580</v>
      </c>
      <c r="C1" s="127"/>
    </row>
    <row r="2" spans="1:4" ht="20.25">
      <c r="A2" s="126"/>
      <c r="B2" s="127" t="s">
        <v>1553</v>
      </c>
      <c r="C2" s="127"/>
    </row>
    <row r="3" spans="1:4" ht="20.25">
      <c r="A3" s="126"/>
      <c r="B3" s="127" t="s">
        <v>1554</v>
      </c>
      <c r="C3" s="127"/>
    </row>
    <row r="4" spans="1:4" ht="20.100000000000001" customHeight="1">
      <c r="A4" s="126"/>
      <c r="B4" s="203"/>
      <c r="C4" s="203"/>
    </row>
    <row r="5" spans="1:4" ht="61.5" customHeight="1">
      <c r="A5" s="128" t="s">
        <v>21</v>
      </c>
      <c r="B5" s="119" t="s">
        <v>892</v>
      </c>
      <c r="C5" s="120" t="s">
        <v>23</v>
      </c>
      <c r="D5" s="190" t="s">
        <v>893</v>
      </c>
    </row>
    <row r="6" spans="1:4" ht="34.5" customHeight="1">
      <c r="A6" s="128">
        <v>1</v>
      </c>
      <c r="B6" s="119">
        <v>2</v>
      </c>
      <c r="C6" s="120">
        <v>3</v>
      </c>
      <c r="D6" s="191"/>
    </row>
    <row r="7" spans="1:4" ht="20.100000000000001" customHeight="1">
      <c r="A7" s="128" t="s">
        <v>79</v>
      </c>
      <c r="B7" s="124" t="s">
        <v>895</v>
      </c>
      <c r="C7" s="98" t="s">
        <v>896</v>
      </c>
      <c r="D7" s="192">
        <v>33000000</v>
      </c>
    </row>
    <row r="8" spans="1:4" ht="20.100000000000001" customHeight="1">
      <c r="A8" s="128"/>
      <c r="B8" s="124" t="s">
        <v>897</v>
      </c>
      <c r="C8" s="98" t="s">
        <v>898</v>
      </c>
      <c r="D8" s="192">
        <v>33000000</v>
      </c>
    </row>
    <row r="9" spans="1:4" ht="20.100000000000001" hidden="1" customHeight="1">
      <c r="A9" s="128"/>
      <c r="B9" s="125" t="s">
        <v>899</v>
      </c>
      <c r="C9" s="103" t="s">
        <v>74</v>
      </c>
      <c r="D9" s="192">
        <v>33000000</v>
      </c>
    </row>
    <row r="10" spans="1:4" ht="20.100000000000001" hidden="1" customHeight="1">
      <c r="A10" s="128"/>
      <c r="B10" s="125" t="s">
        <v>900</v>
      </c>
      <c r="C10" s="103" t="s">
        <v>901</v>
      </c>
      <c r="D10" s="192">
        <v>33000000</v>
      </c>
    </row>
    <row r="11" spans="1:4" ht="20.100000000000001" hidden="1" customHeight="1">
      <c r="A11" s="128"/>
      <c r="B11" s="125" t="s">
        <v>902</v>
      </c>
      <c r="C11" s="103" t="s">
        <v>76</v>
      </c>
      <c r="D11" s="192">
        <v>33000000</v>
      </c>
    </row>
    <row r="12" spans="1:4" ht="44.25" hidden="1" customHeight="1">
      <c r="A12" s="128"/>
      <c r="B12" s="125" t="s">
        <v>903</v>
      </c>
      <c r="C12" s="103" t="s">
        <v>904</v>
      </c>
      <c r="D12" s="192">
        <v>0</v>
      </c>
    </row>
    <row r="13" spans="1:4" ht="20.100000000000001" customHeight="1">
      <c r="A13" s="128"/>
      <c r="B13" s="124"/>
      <c r="C13" s="98"/>
      <c r="D13" s="192"/>
    </row>
    <row r="14" spans="1:4" ht="20.100000000000001" customHeight="1">
      <c r="A14" s="128" t="s">
        <v>136</v>
      </c>
      <c r="B14" s="124" t="s">
        <v>905</v>
      </c>
      <c r="C14" s="98" t="s">
        <v>9</v>
      </c>
      <c r="D14" s="192">
        <v>6341834000</v>
      </c>
    </row>
    <row r="15" spans="1:4" ht="20.100000000000001" hidden="1" customHeight="1">
      <c r="A15" s="128"/>
      <c r="B15" s="125" t="s">
        <v>906</v>
      </c>
      <c r="C15" s="103" t="s">
        <v>10</v>
      </c>
      <c r="D15" s="192">
        <v>6341834000</v>
      </c>
    </row>
    <row r="16" spans="1:4" ht="20.100000000000001" hidden="1" customHeight="1">
      <c r="A16" s="128"/>
      <c r="B16" s="125" t="s">
        <v>907</v>
      </c>
      <c r="C16" s="103" t="s">
        <v>25</v>
      </c>
      <c r="D16" s="192">
        <v>5314124000</v>
      </c>
    </row>
    <row r="17" spans="1:4" ht="20.100000000000001" hidden="1" customHeight="1">
      <c r="A17" s="128"/>
      <c r="B17" s="125" t="s">
        <v>908</v>
      </c>
      <c r="C17" s="103" t="s">
        <v>27</v>
      </c>
      <c r="D17" s="192">
        <v>4097850000</v>
      </c>
    </row>
    <row r="18" spans="1:4" ht="20.100000000000001" hidden="1" customHeight="1">
      <c r="A18" s="128"/>
      <c r="B18" s="125" t="s">
        <v>909</v>
      </c>
      <c r="C18" s="103" t="s">
        <v>84</v>
      </c>
      <c r="D18" s="192">
        <v>400368000</v>
      </c>
    </row>
    <row r="19" spans="1:4" ht="20.100000000000001" hidden="1" customHeight="1">
      <c r="A19" s="128"/>
      <c r="B19" s="125" t="s">
        <v>910</v>
      </c>
      <c r="C19" s="103" t="s">
        <v>911</v>
      </c>
      <c r="D19" s="192">
        <v>178091000</v>
      </c>
    </row>
    <row r="20" spans="1:4" ht="20.100000000000001" hidden="1" customHeight="1">
      <c r="A20" s="128"/>
      <c r="B20" s="125" t="s">
        <v>912</v>
      </c>
      <c r="C20" s="103" t="s">
        <v>88</v>
      </c>
      <c r="D20" s="192">
        <v>245299000</v>
      </c>
    </row>
    <row r="21" spans="1:4" ht="20.100000000000001" hidden="1" customHeight="1">
      <c r="A21" s="128"/>
      <c r="B21" s="125" t="s">
        <v>913</v>
      </c>
      <c r="C21" s="103" t="s">
        <v>11</v>
      </c>
      <c r="D21" s="192">
        <v>52496000</v>
      </c>
    </row>
    <row r="22" spans="1:4" ht="20.100000000000001" hidden="1" customHeight="1">
      <c r="A22" s="128"/>
      <c r="B22" s="125" t="s">
        <v>914</v>
      </c>
      <c r="C22" s="103" t="s">
        <v>915</v>
      </c>
      <c r="D22" s="192">
        <v>173808000</v>
      </c>
    </row>
    <row r="23" spans="1:4" ht="20.100000000000001" hidden="1" customHeight="1">
      <c r="A23" s="128"/>
      <c r="B23" s="125" t="s">
        <v>916</v>
      </c>
      <c r="C23" s="103" t="s">
        <v>93</v>
      </c>
      <c r="D23" s="192">
        <v>22817000</v>
      </c>
    </row>
    <row r="24" spans="1:4" ht="20.100000000000001" hidden="1" customHeight="1">
      <c r="A24" s="128"/>
      <c r="B24" s="125" t="s">
        <v>917</v>
      </c>
      <c r="C24" s="103" t="s">
        <v>95</v>
      </c>
      <c r="D24" s="192">
        <v>70000</v>
      </c>
    </row>
    <row r="25" spans="1:4" ht="20.100000000000001" hidden="1" customHeight="1">
      <c r="A25" s="128"/>
      <c r="B25" s="125" t="s">
        <v>918</v>
      </c>
      <c r="C25" s="103" t="s">
        <v>28</v>
      </c>
      <c r="D25" s="192">
        <v>111998000</v>
      </c>
    </row>
    <row r="26" spans="1:4" ht="20.100000000000001" hidden="1" customHeight="1">
      <c r="A26" s="128"/>
      <c r="B26" s="125" t="s">
        <v>919</v>
      </c>
      <c r="C26" s="103" t="s">
        <v>38</v>
      </c>
      <c r="D26" s="192">
        <v>31327000</v>
      </c>
    </row>
    <row r="27" spans="1:4" ht="20.100000000000001" hidden="1" customHeight="1">
      <c r="A27" s="128"/>
      <c r="B27" s="125" t="s">
        <v>920</v>
      </c>
      <c r="C27" s="103" t="s">
        <v>99</v>
      </c>
      <c r="D27" s="192">
        <v>1026060000</v>
      </c>
    </row>
    <row r="28" spans="1:4" ht="20.100000000000001" hidden="1" customHeight="1">
      <c r="A28" s="128"/>
      <c r="B28" s="125" t="s">
        <v>921</v>
      </c>
      <c r="C28" s="103" t="s">
        <v>101</v>
      </c>
      <c r="D28" s="192">
        <v>1026060000</v>
      </c>
    </row>
    <row r="29" spans="1:4" ht="20.100000000000001" hidden="1" customHeight="1">
      <c r="A29" s="128"/>
      <c r="B29" s="125" t="s">
        <v>922</v>
      </c>
      <c r="C29" s="103" t="s">
        <v>12</v>
      </c>
      <c r="D29" s="192">
        <v>1650000</v>
      </c>
    </row>
    <row r="30" spans="1:4" ht="20.100000000000001" hidden="1" customHeight="1">
      <c r="A30" s="128"/>
      <c r="B30" s="125" t="s">
        <v>923</v>
      </c>
      <c r="C30" s="103" t="s">
        <v>924</v>
      </c>
      <c r="D30" s="192">
        <v>1650000</v>
      </c>
    </row>
    <row r="31" spans="1:4" ht="20.100000000000001" customHeight="1">
      <c r="A31" s="128"/>
      <c r="B31" s="125"/>
      <c r="C31" s="103"/>
      <c r="D31" s="192"/>
    </row>
    <row r="32" spans="1:4" ht="20.100000000000001" customHeight="1">
      <c r="A32" s="128" t="s">
        <v>925</v>
      </c>
      <c r="B32" s="124" t="s">
        <v>926</v>
      </c>
      <c r="C32" s="98" t="s">
        <v>927</v>
      </c>
      <c r="D32" s="192">
        <v>5321184000</v>
      </c>
    </row>
    <row r="33" spans="1:4" ht="20.100000000000001" customHeight="1">
      <c r="A33" s="129" t="s">
        <v>138</v>
      </c>
      <c r="B33" s="106" t="s">
        <v>928</v>
      </c>
      <c r="C33" s="107" t="s">
        <v>140</v>
      </c>
      <c r="D33" s="192">
        <v>386568000</v>
      </c>
    </row>
    <row r="34" spans="1:4" ht="20.100000000000001" customHeight="1">
      <c r="A34" s="130">
        <v>1</v>
      </c>
      <c r="B34" s="187" t="s">
        <v>929</v>
      </c>
      <c r="C34" s="188" t="s">
        <v>0</v>
      </c>
      <c r="D34" s="192">
        <v>25387000</v>
      </c>
    </row>
    <row r="35" spans="1:4" ht="20.100000000000001" hidden="1" customHeight="1">
      <c r="A35" s="132"/>
      <c r="B35" s="102" t="s">
        <v>930</v>
      </c>
      <c r="C35" s="103" t="s">
        <v>143</v>
      </c>
      <c r="D35" s="192"/>
    </row>
    <row r="36" spans="1:4" ht="20.100000000000001" hidden="1" customHeight="1">
      <c r="A36" s="132"/>
      <c r="B36" s="102" t="s">
        <v>931</v>
      </c>
      <c r="C36" s="103" t="s">
        <v>145</v>
      </c>
      <c r="D36" s="192"/>
    </row>
    <row r="37" spans="1:4" ht="20.100000000000001" hidden="1" customHeight="1">
      <c r="A37" s="132"/>
      <c r="B37" s="102" t="s">
        <v>932</v>
      </c>
      <c r="C37" s="103" t="s">
        <v>147</v>
      </c>
      <c r="D37" s="192">
        <v>12578000</v>
      </c>
    </row>
    <row r="38" spans="1:4" ht="20.100000000000001" hidden="1" customHeight="1">
      <c r="A38" s="132"/>
      <c r="B38" s="102" t="s">
        <v>933</v>
      </c>
      <c r="C38" s="103" t="s">
        <v>151</v>
      </c>
      <c r="D38" s="192"/>
    </row>
    <row r="39" spans="1:4" ht="20.100000000000001" hidden="1" customHeight="1">
      <c r="A39" s="132"/>
      <c r="B39" s="102" t="s">
        <v>934</v>
      </c>
      <c r="C39" s="103" t="s">
        <v>153</v>
      </c>
      <c r="D39" s="192">
        <v>4759000</v>
      </c>
    </row>
    <row r="40" spans="1:4" ht="20.100000000000001" hidden="1" customHeight="1">
      <c r="A40" s="132"/>
      <c r="B40" s="102" t="s">
        <v>935</v>
      </c>
      <c r="C40" s="103" t="s">
        <v>155</v>
      </c>
      <c r="D40" s="192">
        <v>8050000</v>
      </c>
    </row>
    <row r="41" spans="1:4" ht="20.100000000000001" customHeight="1">
      <c r="A41" s="130">
        <v>2</v>
      </c>
      <c r="B41" s="187" t="s">
        <v>936</v>
      </c>
      <c r="C41" s="188" t="s">
        <v>1</v>
      </c>
      <c r="D41" s="192">
        <v>110000000</v>
      </c>
    </row>
    <row r="42" spans="1:4" ht="20.100000000000001" hidden="1" customHeight="1">
      <c r="A42" s="132"/>
      <c r="B42" s="102" t="s">
        <v>937</v>
      </c>
      <c r="C42" s="103" t="s">
        <v>143</v>
      </c>
      <c r="D42" s="192"/>
    </row>
    <row r="43" spans="1:4" ht="20.100000000000001" hidden="1" customHeight="1">
      <c r="A43" s="132"/>
      <c r="B43" s="102" t="s">
        <v>938</v>
      </c>
      <c r="C43" s="103" t="s">
        <v>163</v>
      </c>
      <c r="D43" s="192"/>
    </row>
    <row r="44" spans="1:4" ht="20.100000000000001" hidden="1" customHeight="1">
      <c r="A44" s="132"/>
      <c r="B44" s="102" t="s">
        <v>939</v>
      </c>
      <c r="C44" s="103" t="s">
        <v>165</v>
      </c>
      <c r="D44" s="192">
        <v>14720000</v>
      </c>
    </row>
    <row r="45" spans="1:4" ht="20.100000000000001" hidden="1" customHeight="1">
      <c r="A45" s="132"/>
      <c r="B45" s="102" t="s">
        <v>940</v>
      </c>
      <c r="C45" s="103" t="s">
        <v>167</v>
      </c>
      <c r="D45" s="192">
        <v>10800000</v>
      </c>
    </row>
    <row r="46" spans="1:4" ht="20.100000000000001" hidden="1" customHeight="1">
      <c r="A46" s="132"/>
      <c r="B46" s="102" t="s">
        <v>941</v>
      </c>
      <c r="C46" s="103" t="s">
        <v>169</v>
      </c>
      <c r="D46" s="192">
        <v>58800000</v>
      </c>
    </row>
    <row r="47" spans="1:4" ht="20.100000000000001" hidden="1" customHeight="1">
      <c r="A47" s="132"/>
      <c r="B47" s="102" t="s">
        <v>942</v>
      </c>
      <c r="C47" s="103" t="s">
        <v>171</v>
      </c>
      <c r="D47" s="192">
        <v>2880000</v>
      </c>
    </row>
    <row r="48" spans="1:4" ht="20.100000000000001" hidden="1" customHeight="1">
      <c r="A48" s="132"/>
      <c r="B48" s="102" t="s">
        <v>943</v>
      </c>
      <c r="C48" s="103" t="s">
        <v>173</v>
      </c>
      <c r="D48" s="192">
        <v>22800000</v>
      </c>
    </row>
    <row r="49" spans="1:4" ht="20.100000000000001" customHeight="1">
      <c r="A49" s="130">
        <v>3</v>
      </c>
      <c r="B49" s="187" t="s">
        <v>944</v>
      </c>
      <c r="C49" s="188" t="s">
        <v>2</v>
      </c>
      <c r="D49" s="192">
        <v>64481000</v>
      </c>
    </row>
    <row r="50" spans="1:4" ht="20.100000000000001" hidden="1" customHeight="1">
      <c r="A50" s="132"/>
      <c r="B50" s="102" t="s">
        <v>945</v>
      </c>
      <c r="C50" s="103" t="s">
        <v>10</v>
      </c>
      <c r="D50" s="192"/>
    </row>
    <row r="51" spans="1:4" ht="20.100000000000001" hidden="1" customHeight="1">
      <c r="A51" s="132"/>
      <c r="B51" s="102" t="s">
        <v>946</v>
      </c>
      <c r="C51" s="103" t="s">
        <v>177</v>
      </c>
      <c r="D51" s="192"/>
    </row>
    <row r="52" spans="1:4" ht="20.100000000000001" hidden="1" customHeight="1">
      <c r="A52" s="132"/>
      <c r="B52" s="102" t="s">
        <v>947</v>
      </c>
      <c r="C52" s="103" t="s">
        <v>179</v>
      </c>
      <c r="D52" s="192">
        <v>31200000</v>
      </c>
    </row>
    <row r="53" spans="1:4" ht="20.100000000000001" hidden="1" customHeight="1">
      <c r="A53" s="132"/>
      <c r="B53" s="102" t="s">
        <v>948</v>
      </c>
      <c r="C53" s="103" t="s">
        <v>181</v>
      </c>
      <c r="D53" s="192"/>
    </row>
    <row r="54" spans="1:4" ht="20.100000000000001" hidden="1" customHeight="1">
      <c r="A54" s="132"/>
      <c r="B54" s="102" t="s">
        <v>949</v>
      </c>
      <c r="C54" s="103" t="s">
        <v>183</v>
      </c>
      <c r="D54" s="192">
        <v>4620000</v>
      </c>
    </row>
    <row r="55" spans="1:4" ht="20.100000000000001" hidden="1" customHeight="1">
      <c r="A55" s="132"/>
      <c r="B55" s="102" t="s">
        <v>950</v>
      </c>
      <c r="C55" s="103" t="s">
        <v>143</v>
      </c>
      <c r="D55" s="192"/>
    </row>
    <row r="56" spans="1:4" ht="20.100000000000001" hidden="1" customHeight="1">
      <c r="A56" s="132"/>
      <c r="B56" s="102" t="s">
        <v>951</v>
      </c>
      <c r="C56" s="103" t="s">
        <v>145</v>
      </c>
      <c r="D56" s="192"/>
    </row>
    <row r="57" spans="1:4" ht="20.100000000000001" hidden="1" customHeight="1">
      <c r="A57" s="132"/>
      <c r="B57" s="102" t="s">
        <v>952</v>
      </c>
      <c r="C57" s="103" t="s">
        <v>147</v>
      </c>
      <c r="D57" s="192">
        <v>7192000</v>
      </c>
    </row>
    <row r="58" spans="1:4" ht="20.100000000000001" hidden="1" customHeight="1">
      <c r="A58" s="132"/>
      <c r="B58" s="102" t="s">
        <v>953</v>
      </c>
      <c r="C58" s="103" t="s">
        <v>151</v>
      </c>
      <c r="D58" s="192"/>
    </row>
    <row r="59" spans="1:4" ht="20.100000000000001" hidden="1" customHeight="1">
      <c r="A59" s="132"/>
      <c r="B59" s="102" t="s">
        <v>954</v>
      </c>
      <c r="C59" s="103" t="s">
        <v>155</v>
      </c>
      <c r="D59" s="192">
        <v>12549000</v>
      </c>
    </row>
    <row r="60" spans="1:4" ht="20.100000000000001" hidden="1" customHeight="1">
      <c r="A60" s="132"/>
      <c r="B60" s="102" t="s">
        <v>955</v>
      </c>
      <c r="C60" s="103" t="s">
        <v>157</v>
      </c>
      <c r="D60" s="192"/>
    </row>
    <row r="61" spans="1:4" ht="20.100000000000001" hidden="1" customHeight="1">
      <c r="A61" s="132"/>
      <c r="B61" s="102" t="s">
        <v>956</v>
      </c>
      <c r="C61" s="103" t="s">
        <v>159</v>
      </c>
      <c r="D61" s="192">
        <v>8920000</v>
      </c>
    </row>
    <row r="62" spans="1:4" ht="20.100000000000001" customHeight="1">
      <c r="A62" s="130">
        <v>4</v>
      </c>
      <c r="B62" s="187" t="s">
        <v>957</v>
      </c>
      <c r="C62" s="188" t="s">
        <v>199</v>
      </c>
      <c r="D62" s="192">
        <v>117257000</v>
      </c>
    </row>
    <row r="63" spans="1:4" ht="20.100000000000001" hidden="1" customHeight="1">
      <c r="A63" s="132"/>
      <c r="B63" s="102" t="s">
        <v>958</v>
      </c>
      <c r="C63" s="103" t="s">
        <v>143</v>
      </c>
      <c r="D63" s="192"/>
    </row>
    <row r="64" spans="1:4" ht="20.100000000000001" hidden="1" customHeight="1">
      <c r="A64" s="132"/>
      <c r="B64" s="102" t="s">
        <v>959</v>
      </c>
      <c r="C64" s="103" t="s">
        <v>145</v>
      </c>
      <c r="D64" s="192"/>
    </row>
    <row r="65" spans="1:4" ht="20.100000000000001" hidden="1" customHeight="1">
      <c r="A65" s="132"/>
      <c r="B65" s="102" t="s">
        <v>960</v>
      </c>
      <c r="C65" s="103" t="s">
        <v>147</v>
      </c>
      <c r="D65" s="192">
        <v>539000</v>
      </c>
    </row>
    <row r="66" spans="1:4" ht="20.100000000000001" hidden="1" customHeight="1">
      <c r="A66" s="132"/>
      <c r="B66" s="102" t="s">
        <v>961</v>
      </c>
      <c r="C66" s="103" t="s">
        <v>151</v>
      </c>
      <c r="D66" s="192"/>
    </row>
    <row r="67" spans="1:4" ht="20.100000000000001" hidden="1" customHeight="1">
      <c r="A67" s="132"/>
      <c r="B67" s="102" t="s">
        <v>962</v>
      </c>
      <c r="C67" s="103" t="s">
        <v>155</v>
      </c>
      <c r="D67" s="192">
        <v>1068000</v>
      </c>
    </row>
    <row r="68" spans="1:4" ht="20.100000000000001" hidden="1" customHeight="1">
      <c r="A68" s="132"/>
      <c r="B68" s="102" t="s">
        <v>963</v>
      </c>
      <c r="C68" s="103" t="s">
        <v>157</v>
      </c>
      <c r="D68" s="192"/>
    </row>
    <row r="69" spans="1:4" ht="20.100000000000001" hidden="1" customHeight="1">
      <c r="A69" s="132"/>
      <c r="B69" s="102" t="s">
        <v>964</v>
      </c>
      <c r="C69" s="103" t="s">
        <v>207</v>
      </c>
      <c r="D69" s="192">
        <v>115650000</v>
      </c>
    </row>
    <row r="70" spans="1:4" ht="20.100000000000001" customHeight="1">
      <c r="A70" s="130">
        <v>5</v>
      </c>
      <c r="B70" s="187" t="s">
        <v>965</v>
      </c>
      <c r="C70" s="188" t="s">
        <v>209</v>
      </c>
      <c r="D70" s="192">
        <v>69443000</v>
      </c>
    </row>
    <row r="71" spans="1:4" ht="20.100000000000001" hidden="1" customHeight="1">
      <c r="A71" s="132"/>
      <c r="B71" s="102" t="s">
        <v>966</v>
      </c>
      <c r="C71" s="103" t="s">
        <v>143</v>
      </c>
      <c r="D71" s="192"/>
    </row>
    <row r="72" spans="1:4" ht="20.100000000000001" hidden="1" customHeight="1">
      <c r="A72" s="132"/>
      <c r="B72" s="102" t="s">
        <v>967</v>
      </c>
      <c r="C72" s="103" t="s">
        <v>145</v>
      </c>
      <c r="D72" s="192"/>
    </row>
    <row r="73" spans="1:4" ht="20.100000000000001" hidden="1" customHeight="1">
      <c r="A73" s="132"/>
      <c r="B73" s="102" t="s">
        <v>968</v>
      </c>
      <c r="C73" s="103" t="s">
        <v>147</v>
      </c>
      <c r="D73" s="192">
        <v>2117000</v>
      </c>
    </row>
    <row r="74" spans="1:4" ht="20.100000000000001" hidden="1" customHeight="1">
      <c r="A74" s="132"/>
      <c r="B74" s="102" t="s">
        <v>969</v>
      </c>
      <c r="C74" s="103" t="s">
        <v>151</v>
      </c>
      <c r="D74" s="192"/>
    </row>
    <row r="75" spans="1:4" ht="20.100000000000001" hidden="1" customHeight="1">
      <c r="A75" s="132"/>
      <c r="B75" s="102" t="s">
        <v>970</v>
      </c>
      <c r="C75" s="103" t="s">
        <v>155</v>
      </c>
      <c r="D75" s="192">
        <v>2366000</v>
      </c>
    </row>
    <row r="76" spans="1:4" ht="20.100000000000001" hidden="1" customHeight="1">
      <c r="A76" s="132"/>
      <c r="B76" s="102" t="s">
        <v>971</v>
      </c>
      <c r="C76" s="103" t="s">
        <v>193</v>
      </c>
      <c r="D76" s="192"/>
    </row>
    <row r="77" spans="1:4" ht="20.100000000000001" hidden="1" customHeight="1">
      <c r="A77" s="132"/>
      <c r="B77" s="102" t="s">
        <v>972</v>
      </c>
      <c r="C77" s="103" t="s">
        <v>195</v>
      </c>
      <c r="D77" s="192">
        <v>24750000</v>
      </c>
    </row>
    <row r="78" spans="1:4" ht="20.100000000000001" hidden="1" customHeight="1">
      <c r="A78" s="132"/>
      <c r="B78" s="102" t="s">
        <v>973</v>
      </c>
      <c r="C78" s="103" t="s">
        <v>157</v>
      </c>
      <c r="D78" s="192"/>
    </row>
    <row r="79" spans="1:4" ht="20.100000000000001" hidden="1" customHeight="1">
      <c r="A79" s="132"/>
      <c r="B79" s="102" t="s">
        <v>974</v>
      </c>
      <c r="C79" s="103" t="s">
        <v>159</v>
      </c>
      <c r="D79" s="192">
        <v>40210000</v>
      </c>
    </row>
    <row r="80" spans="1:4" ht="20.100000000000001" customHeight="1">
      <c r="A80" s="129" t="s">
        <v>219</v>
      </c>
      <c r="B80" s="106" t="s">
        <v>975</v>
      </c>
      <c r="C80" s="107" t="s">
        <v>976</v>
      </c>
      <c r="D80" s="192">
        <v>1010624000</v>
      </c>
    </row>
    <row r="81" spans="1:4" ht="20.100000000000001" customHeight="1">
      <c r="A81" s="130">
        <v>6</v>
      </c>
      <c r="B81" s="187" t="s">
        <v>977</v>
      </c>
      <c r="C81" s="188" t="s">
        <v>3</v>
      </c>
      <c r="D81" s="192">
        <v>161880000</v>
      </c>
    </row>
    <row r="82" spans="1:4" ht="20.100000000000001" hidden="1" customHeight="1">
      <c r="A82" s="132"/>
      <c r="B82" s="102" t="s">
        <v>978</v>
      </c>
      <c r="C82" s="103" t="s">
        <v>143</v>
      </c>
      <c r="D82" s="192"/>
    </row>
    <row r="83" spans="1:4" ht="20.100000000000001" hidden="1" customHeight="1">
      <c r="A83" s="132"/>
      <c r="B83" s="102" t="s">
        <v>979</v>
      </c>
      <c r="C83" s="103" t="s">
        <v>145</v>
      </c>
      <c r="D83" s="192"/>
    </row>
    <row r="84" spans="1:4" ht="20.100000000000001" hidden="1" customHeight="1">
      <c r="A84" s="132"/>
      <c r="B84" s="102" t="s">
        <v>980</v>
      </c>
      <c r="C84" s="103" t="s">
        <v>226</v>
      </c>
      <c r="D84" s="192">
        <v>5480000</v>
      </c>
    </row>
    <row r="85" spans="1:4" ht="20.100000000000001" hidden="1" customHeight="1">
      <c r="A85" s="132"/>
      <c r="B85" s="102" t="s">
        <v>981</v>
      </c>
      <c r="C85" s="103" t="s">
        <v>228</v>
      </c>
      <c r="D85" s="192">
        <v>12528000</v>
      </c>
    </row>
    <row r="86" spans="1:4" ht="20.100000000000001" hidden="1" customHeight="1">
      <c r="A86" s="132"/>
      <c r="B86" s="102" t="s">
        <v>982</v>
      </c>
      <c r="C86" s="103" t="s">
        <v>163</v>
      </c>
      <c r="D86" s="192"/>
    </row>
    <row r="87" spans="1:4" ht="20.100000000000001" hidden="1" customHeight="1">
      <c r="A87" s="132"/>
      <c r="B87" s="102" t="s">
        <v>983</v>
      </c>
      <c r="C87" s="103" t="s">
        <v>231</v>
      </c>
      <c r="D87" s="192">
        <v>133000000</v>
      </c>
    </row>
    <row r="88" spans="1:4" ht="20.100000000000001" hidden="1" customHeight="1">
      <c r="A88" s="132"/>
      <c r="B88" s="102" t="s">
        <v>984</v>
      </c>
      <c r="C88" s="103" t="s">
        <v>233</v>
      </c>
      <c r="D88" s="192"/>
    </row>
    <row r="89" spans="1:4" ht="20.100000000000001" hidden="1" customHeight="1">
      <c r="A89" s="132"/>
      <c r="B89" s="102" t="s">
        <v>985</v>
      </c>
      <c r="C89" s="103" t="s">
        <v>986</v>
      </c>
      <c r="D89" s="192">
        <v>9792000</v>
      </c>
    </row>
    <row r="90" spans="1:4" ht="20.100000000000001" hidden="1" customHeight="1">
      <c r="A90" s="132"/>
      <c r="B90" s="102" t="s">
        <v>987</v>
      </c>
      <c r="C90" s="103" t="s">
        <v>243</v>
      </c>
      <c r="D90" s="192"/>
    </row>
    <row r="91" spans="1:4" ht="20.100000000000001" hidden="1" customHeight="1">
      <c r="A91" s="132"/>
      <c r="B91" s="102" t="s">
        <v>988</v>
      </c>
      <c r="C91" s="103" t="s">
        <v>245</v>
      </c>
      <c r="D91" s="192">
        <v>1080000</v>
      </c>
    </row>
    <row r="92" spans="1:4" ht="20.100000000000001" customHeight="1">
      <c r="A92" s="130">
        <v>7</v>
      </c>
      <c r="B92" s="187" t="s">
        <v>989</v>
      </c>
      <c r="C92" s="188" t="s">
        <v>4</v>
      </c>
      <c r="D92" s="192">
        <v>344845000</v>
      </c>
    </row>
    <row r="93" spans="1:4" ht="20.100000000000001" hidden="1" customHeight="1">
      <c r="A93" s="132"/>
      <c r="B93" s="102" t="s">
        <v>990</v>
      </c>
      <c r="C93" s="103" t="s">
        <v>143</v>
      </c>
      <c r="D93" s="192"/>
    </row>
    <row r="94" spans="1:4" ht="20.100000000000001" hidden="1" customHeight="1">
      <c r="A94" s="132"/>
      <c r="B94" s="102" t="s">
        <v>991</v>
      </c>
      <c r="C94" s="103" t="s">
        <v>233</v>
      </c>
      <c r="D94" s="192"/>
    </row>
    <row r="95" spans="1:4" ht="20.100000000000001" hidden="1" customHeight="1">
      <c r="A95" s="132"/>
      <c r="B95" s="102" t="s">
        <v>992</v>
      </c>
      <c r="C95" s="103" t="s">
        <v>235</v>
      </c>
      <c r="D95" s="192">
        <v>61860000</v>
      </c>
    </row>
    <row r="96" spans="1:4" ht="20.100000000000001" hidden="1" customHeight="1">
      <c r="A96" s="132"/>
      <c r="B96" s="102" t="s">
        <v>993</v>
      </c>
      <c r="C96" s="103" t="s">
        <v>251</v>
      </c>
      <c r="D96" s="192">
        <v>48737000</v>
      </c>
    </row>
    <row r="97" spans="1:4" ht="20.100000000000001" hidden="1" customHeight="1">
      <c r="A97" s="132"/>
      <c r="B97" s="102" t="s">
        <v>994</v>
      </c>
      <c r="C97" s="103" t="s">
        <v>986</v>
      </c>
      <c r="D97" s="192">
        <v>220292000</v>
      </c>
    </row>
    <row r="98" spans="1:4" ht="20.100000000000001" hidden="1" customHeight="1">
      <c r="A98" s="132"/>
      <c r="B98" s="102" t="s">
        <v>995</v>
      </c>
      <c r="C98" s="103" t="s">
        <v>254</v>
      </c>
      <c r="D98" s="192">
        <v>1903000</v>
      </c>
    </row>
    <row r="99" spans="1:4" ht="20.100000000000001" hidden="1" customHeight="1">
      <c r="A99" s="132"/>
      <c r="B99" s="102" t="s">
        <v>996</v>
      </c>
      <c r="C99" s="103" t="s">
        <v>256</v>
      </c>
      <c r="D99" s="192">
        <v>12053000</v>
      </c>
    </row>
    <row r="100" spans="1:4" ht="20.100000000000001" customHeight="1">
      <c r="A100" s="130">
        <v>8</v>
      </c>
      <c r="B100" s="187" t="s">
        <v>997</v>
      </c>
      <c r="C100" s="188" t="s">
        <v>5</v>
      </c>
      <c r="D100" s="192">
        <v>43002000</v>
      </c>
    </row>
    <row r="101" spans="1:4" ht="20.100000000000001" hidden="1" customHeight="1">
      <c r="A101" s="132"/>
      <c r="B101" s="102" t="s">
        <v>998</v>
      </c>
      <c r="C101" s="103" t="s">
        <v>143</v>
      </c>
      <c r="D101" s="192"/>
    </row>
    <row r="102" spans="1:4" ht="20.100000000000001" hidden="1" customHeight="1">
      <c r="A102" s="132"/>
      <c r="B102" s="102" t="s">
        <v>999</v>
      </c>
      <c r="C102" s="103" t="s">
        <v>239</v>
      </c>
      <c r="D102" s="192"/>
    </row>
    <row r="103" spans="1:4" ht="20.100000000000001" hidden="1" customHeight="1">
      <c r="A103" s="132"/>
      <c r="B103" s="102" t="s">
        <v>1000</v>
      </c>
      <c r="C103" s="103" t="s">
        <v>266</v>
      </c>
      <c r="D103" s="192">
        <v>43002000</v>
      </c>
    </row>
    <row r="104" spans="1:4" ht="20.100000000000001" customHeight="1">
      <c r="A104" s="130">
        <v>9</v>
      </c>
      <c r="B104" s="187" t="s">
        <v>1001</v>
      </c>
      <c r="C104" s="188" t="s">
        <v>268</v>
      </c>
      <c r="D104" s="192">
        <v>460897000</v>
      </c>
    </row>
    <row r="105" spans="1:4" ht="20.100000000000001" hidden="1" customHeight="1">
      <c r="A105" s="132"/>
      <c r="B105" s="102" t="s">
        <v>1002</v>
      </c>
      <c r="C105" s="103" t="s">
        <v>270</v>
      </c>
      <c r="D105" s="192"/>
    </row>
    <row r="106" spans="1:4" ht="20.100000000000001" hidden="1" customHeight="1">
      <c r="A106" s="132"/>
      <c r="B106" s="102" t="s">
        <v>1003</v>
      </c>
      <c r="C106" s="103" t="s">
        <v>272</v>
      </c>
      <c r="D106" s="192"/>
    </row>
    <row r="107" spans="1:4" ht="20.100000000000001" hidden="1" customHeight="1">
      <c r="A107" s="132"/>
      <c r="B107" s="102" t="s">
        <v>1004</v>
      </c>
      <c r="C107" s="103" t="s">
        <v>274</v>
      </c>
      <c r="D107" s="192">
        <v>460897000</v>
      </c>
    </row>
    <row r="108" spans="1:4" ht="20.100000000000001" customHeight="1">
      <c r="A108" s="129" t="s">
        <v>275</v>
      </c>
      <c r="B108" s="106" t="s">
        <v>1005</v>
      </c>
      <c r="C108" s="107" t="s">
        <v>277</v>
      </c>
      <c r="D108" s="192">
        <v>12508000</v>
      </c>
    </row>
    <row r="109" spans="1:4" ht="20.100000000000001" customHeight="1">
      <c r="A109" s="130">
        <v>10</v>
      </c>
      <c r="B109" s="187" t="s">
        <v>1006</v>
      </c>
      <c r="C109" s="188" t="s">
        <v>279</v>
      </c>
      <c r="D109" s="192">
        <v>12508000</v>
      </c>
    </row>
    <row r="110" spans="1:4" ht="20.100000000000001" hidden="1" customHeight="1">
      <c r="A110" s="132"/>
      <c r="B110" s="102" t="s">
        <v>1007</v>
      </c>
      <c r="C110" s="103" t="s">
        <v>10</v>
      </c>
      <c r="D110" s="192"/>
    </row>
    <row r="111" spans="1:4" ht="20.100000000000001" hidden="1" customHeight="1">
      <c r="A111" s="132"/>
      <c r="B111" s="102" t="s">
        <v>1008</v>
      </c>
      <c r="C111" s="103" t="s">
        <v>177</v>
      </c>
      <c r="D111" s="192"/>
    </row>
    <row r="112" spans="1:4" ht="20.100000000000001" hidden="1" customHeight="1">
      <c r="A112" s="132"/>
      <c r="B112" s="102" t="s">
        <v>1009</v>
      </c>
      <c r="C112" s="103" t="s">
        <v>283</v>
      </c>
      <c r="D112" s="192">
        <v>7800000</v>
      </c>
    </row>
    <row r="113" spans="1:4" ht="20.100000000000001" hidden="1" customHeight="1">
      <c r="A113" s="132"/>
      <c r="B113" s="102" t="s">
        <v>1010</v>
      </c>
      <c r="C113" s="103" t="s">
        <v>181</v>
      </c>
      <c r="D113" s="192"/>
    </row>
    <row r="114" spans="1:4" ht="20.100000000000001" hidden="1" customHeight="1">
      <c r="A114" s="132"/>
      <c r="B114" s="102" t="s">
        <v>1011</v>
      </c>
      <c r="C114" s="103" t="s">
        <v>183</v>
      </c>
      <c r="D114" s="192">
        <v>248000</v>
      </c>
    </row>
    <row r="115" spans="1:4" ht="20.100000000000001" hidden="1" customHeight="1">
      <c r="A115" s="132"/>
      <c r="B115" s="102" t="s">
        <v>1012</v>
      </c>
      <c r="C115" s="103" t="s">
        <v>143</v>
      </c>
      <c r="D115" s="192"/>
    </row>
    <row r="116" spans="1:4" ht="20.100000000000001" hidden="1" customHeight="1">
      <c r="A116" s="132"/>
      <c r="B116" s="102" t="s">
        <v>1013</v>
      </c>
      <c r="C116" s="103" t="s">
        <v>145</v>
      </c>
      <c r="D116" s="192"/>
    </row>
    <row r="117" spans="1:4" ht="20.100000000000001" hidden="1" customHeight="1">
      <c r="A117" s="132"/>
      <c r="B117" s="102" t="s">
        <v>1014</v>
      </c>
      <c r="C117" s="103" t="s">
        <v>147</v>
      </c>
      <c r="D117" s="192">
        <v>822000</v>
      </c>
    </row>
    <row r="118" spans="1:4" ht="20.100000000000001" hidden="1" customHeight="1">
      <c r="A118" s="132"/>
      <c r="B118" s="102" t="s">
        <v>1015</v>
      </c>
      <c r="C118" s="103" t="s">
        <v>151</v>
      </c>
      <c r="D118" s="192"/>
    </row>
    <row r="119" spans="1:4" ht="20.100000000000001" hidden="1" customHeight="1">
      <c r="A119" s="132"/>
      <c r="B119" s="102" t="s">
        <v>1016</v>
      </c>
      <c r="C119" s="103" t="s">
        <v>155</v>
      </c>
      <c r="D119" s="192">
        <v>46000</v>
      </c>
    </row>
    <row r="120" spans="1:4" ht="20.100000000000001" hidden="1" customHeight="1">
      <c r="A120" s="132"/>
      <c r="B120" s="102" t="s">
        <v>1017</v>
      </c>
      <c r="C120" s="103" t="s">
        <v>193</v>
      </c>
      <c r="D120" s="192"/>
    </row>
    <row r="121" spans="1:4" ht="20.100000000000001" hidden="1" customHeight="1">
      <c r="A121" s="132"/>
      <c r="B121" s="102" t="s">
        <v>1018</v>
      </c>
      <c r="C121" s="103" t="s">
        <v>195</v>
      </c>
      <c r="D121" s="192">
        <v>2592000</v>
      </c>
    </row>
    <row r="122" spans="1:4" ht="20.100000000000001" hidden="1" customHeight="1">
      <c r="A122" s="132"/>
      <c r="B122" s="102" t="s">
        <v>1019</v>
      </c>
      <c r="C122" s="103" t="s">
        <v>157</v>
      </c>
      <c r="D122" s="192"/>
    </row>
    <row r="123" spans="1:4" ht="20.100000000000001" hidden="1" customHeight="1">
      <c r="A123" s="132"/>
      <c r="B123" s="102" t="s">
        <v>1020</v>
      </c>
      <c r="C123" s="103" t="s">
        <v>207</v>
      </c>
      <c r="D123" s="192">
        <v>1000000</v>
      </c>
    </row>
    <row r="124" spans="1:4" ht="20.100000000000001" customHeight="1">
      <c r="A124" s="129" t="s">
        <v>293</v>
      </c>
      <c r="B124" s="106" t="s">
        <v>1021</v>
      </c>
      <c r="C124" s="107" t="s">
        <v>295</v>
      </c>
      <c r="D124" s="192">
        <v>24488000</v>
      </c>
    </row>
    <row r="125" spans="1:4" ht="20.100000000000001" customHeight="1">
      <c r="A125" s="130">
        <v>11</v>
      </c>
      <c r="B125" s="187" t="s">
        <v>1022</v>
      </c>
      <c r="C125" s="188" t="s">
        <v>297</v>
      </c>
      <c r="D125" s="192">
        <v>24488000</v>
      </c>
    </row>
    <row r="126" spans="1:4" ht="20.100000000000001" hidden="1" customHeight="1">
      <c r="A126" s="132"/>
      <c r="B126" s="102" t="s">
        <v>1023</v>
      </c>
      <c r="C126" s="103" t="s">
        <v>10</v>
      </c>
      <c r="D126" s="192"/>
    </row>
    <row r="127" spans="1:4" ht="20.100000000000001" hidden="1" customHeight="1">
      <c r="A127" s="132"/>
      <c r="B127" s="102" t="s">
        <v>1024</v>
      </c>
      <c r="C127" s="103" t="s">
        <v>177</v>
      </c>
      <c r="D127" s="192"/>
    </row>
    <row r="128" spans="1:4" ht="20.100000000000001" hidden="1" customHeight="1">
      <c r="A128" s="132"/>
      <c r="B128" s="102" t="s">
        <v>1025</v>
      </c>
      <c r="C128" s="103" t="s">
        <v>283</v>
      </c>
      <c r="D128" s="192">
        <v>6000000</v>
      </c>
    </row>
    <row r="129" spans="1:4" ht="20.100000000000001" hidden="1" customHeight="1">
      <c r="A129" s="132"/>
      <c r="B129" s="102" t="s">
        <v>1026</v>
      </c>
      <c r="C129" s="103" t="s">
        <v>143</v>
      </c>
      <c r="D129" s="192"/>
    </row>
    <row r="130" spans="1:4" ht="20.100000000000001" hidden="1" customHeight="1">
      <c r="A130" s="132"/>
      <c r="B130" s="102" t="s">
        <v>1027</v>
      </c>
      <c r="C130" s="103" t="s">
        <v>145</v>
      </c>
      <c r="D130" s="192"/>
    </row>
    <row r="131" spans="1:4" ht="20.100000000000001" hidden="1" customHeight="1">
      <c r="A131" s="132"/>
      <c r="B131" s="102" t="s">
        <v>1028</v>
      </c>
      <c r="C131" s="103" t="s">
        <v>147</v>
      </c>
      <c r="D131" s="192">
        <v>1699000</v>
      </c>
    </row>
    <row r="132" spans="1:4" ht="20.100000000000001" hidden="1" customHeight="1">
      <c r="A132" s="132"/>
      <c r="B132" s="102" t="s">
        <v>1029</v>
      </c>
      <c r="C132" s="103" t="s">
        <v>151</v>
      </c>
      <c r="D132" s="192"/>
    </row>
    <row r="133" spans="1:4" ht="20.100000000000001" hidden="1" customHeight="1">
      <c r="A133" s="132"/>
      <c r="B133" s="102" t="s">
        <v>1030</v>
      </c>
      <c r="C133" s="103" t="s">
        <v>155</v>
      </c>
      <c r="D133" s="192">
        <v>1864000</v>
      </c>
    </row>
    <row r="134" spans="1:4" ht="20.100000000000001" hidden="1" customHeight="1">
      <c r="A134" s="132"/>
      <c r="B134" s="102" t="s">
        <v>1031</v>
      </c>
      <c r="C134" s="103" t="s">
        <v>309</v>
      </c>
      <c r="D134" s="192">
        <v>180000</v>
      </c>
    </row>
    <row r="135" spans="1:4" ht="20.100000000000001" hidden="1" customHeight="1">
      <c r="A135" s="132"/>
      <c r="B135" s="102" t="s">
        <v>1032</v>
      </c>
      <c r="C135" s="103" t="s">
        <v>193</v>
      </c>
      <c r="D135" s="192"/>
    </row>
    <row r="136" spans="1:4" ht="20.100000000000001" hidden="1" customHeight="1">
      <c r="A136" s="132"/>
      <c r="B136" s="102" t="s">
        <v>1033</v>
      </c>
      <c r="C136" s="103" t="s">
        <v>195</v>
      </c>
      <c r="D136" s="192">
        <v>3645000</v>
      </c>
    </row>
    <row r="137" spans="1:4" ht="20.100000000000001" hidden="1" customHeight="1">
      <c r="A137" s="132"/>
      <c r="B137" s="102" t="s">
        <v>1034</v>
      </c>
      <c r="C137" s="103" t="s">
        <v>157</v>
      </c>
      <c r="D137" s="192"/>
    </row>
    <row r="138" spans="1:4" ht="20.100000000000001" hidden="1" customHeight="1">
      <c r="A138" s="132"/>
      <c r="B138" s="102" t="s">
        <v>1035</v>
      </c>
      <c r="C138" s="103" t="s">
        <v>159</v>
      </c>
      <c r="D138" s="192">
        <v>5450000</v>
      </c>
    </row>
    <row r="139" spans="1:4" ht="20.100000000000001" hidden="1" customHeight="1">
      <c r="A139" s="132"/>
      <c r="B139" s="102" t="s">
        <v>1036</v>
      </c>
      <c r="C139" s="103" t="s">
        <v>207</v>
      </c>
      <c r="D139" s="192">
        <v>5650000</v>
      </c>
    </row>
    <row r="140" spans="1:4" ht="20.100000000000001" customHeight="1">
      <c r="A140" s="133" t="s">
        <v>316</v>
      </c>
      <c r="B140" s="106" t="s">
        <v>1037</v>
      </c>
      <c r="C140" s="107" t="s">
        <v>364</v>
      </c>
      <c r="D140" s="192">
        <v>988012000</v>
      </c>
    </row>
    <row r="141" spans="1:4" ht="33.75" customHeight="1">
      <c r="A141" s="130">
        <v>12</v>
      </c>
      <c r="B141" s="187" t="s">
        <v>1038</v>
      </c>
      <c r="C141" s="188" t="s">
        <v>366</v>
      </c>
      <c r="D141" s="192">
        <v>87000000</v>
      </c>
    </row>
    <row r="142" spans="1:4" ht="20.100000000000001" hidden="1" customHeight="1">
      <c r="A142" s="132"/>
      <c r="B142" s="102" t="s">
        <v>1039</v>
      </c>
      <c r="C142" s="103" t="s">
        <v>270</v>
      </c>
      <c r="D142" s="192"/>
    </row>
    <row r="143" spans="1:4" ht="20.100000000000001" hidden="1" customHeight="1">
      <c r="A143" s="132"/>
      <c r="B143" s="102" t="s">
        <v>1040</v>
      </c>
      <c r="C143" s="103" t="s">
        <v>1041</v>
      </c>
      <c r="D143" s="192"/>
    </row>
    <row r="144" spans="1:4" ht="20.100000000000001" hidden="1" customHeight="1">
      <c r="A144" s="132"/>
      <c r="B144" s="102" t="s">
        <v>1042</v>
      </c>
      <c r="C144" s="103" t="s">
        <v>375</v>
      </c>
      <c r="D144" s="192">
        <v>47520000</v>
      </c>
    </row>
    <row r="145" spans="1:4" ht="20.100000000000001" hidden="1" customHeight="1">
      <c r="A145" s="132"/>
      <c r="B145" s="102" t="s">
        <v>1043</v>
      </c>
      <c r="C145" s="103" t="s">
        <v>377</v>
      </c>
      <c r="D145" s="192">
        <v>3120000</v>
      </c>
    </row>
    <row r="146" spans="1:4" ht="20.100000000000001" hidden="1" customHeight="1">
      <c r="A146" s="132"/>
      <c r="B146" s="102" t="s">
        <v>1044</v>
      </c>
      <c r="C146" s="103" t="s">
        <v>1045</v>
      </c>
      <c r="D146" s="192">
        <v>6360000</v>
      </c>
    </row>
    <row r="147" spans="1:4" ht="20.100000000000001" hidden="1" customHeight="1">
      <c r="A147" s="132"/>
      <c r="B147" s="102" t="s">
        <v>1046</v>
      </c>
      <c r="C147" s="103" t="s">
        <v>629</v>
      </c>
      <c r="D147" s="192"/>
    </row>
    <row r="148" spans="1:4" ht="31.5" hidden="1" customHeight="1">
      <c r="A148" s="132"/>
      <c r="B148" s="102" t="s">
        <v>1047</v>
      </c>
      <c r="C148" s="103" t="s">
        <v>631</v>
      </c>
      <c r="D148" s="192">
        <v>30000000</v>
      </c>
    </row>
    <row r="149" spans="1:4" ht="15" customHeight="1">
      <c r="A149" s="130">
        <v>13</v>
      </c>
      <c r="B149" s="187" t="s">
        <v>1048</v>
      </c>
      <c r="C149" s="188" t="s">
        <v>1049</v>
      </c>
      <c r="D149" s="192">
        <v>307567000</v>
      </c>
    </row>
    <row r="150" spans="1:4" ht="20.100000000000001" hidden="1" customHeight="1">
      <c r="A150" s="132"/>
      <c r="B150" s="102" t="s">
        <v>1050</v>
      </c>
      <c r="C150" s="103" t="s">
        <v>10</v>
      </c>
      <c r="D150" s="192"/>
    </row>
    <row r="151" spans="1:4" ht="20.100000000000001" hidden="1" customHeight="1">
      <c r="A151" s="132"/>
      <c r="B151" s="102" t="s">
        <v>1051</v>
      </c>
      <c r="C151" s="103" t="s">
        <v>177</v>
      </c>
      <c r="D151" s="192"/>
    </row>
    <row r="152" spans="1:4" ht="20.100000000000001" hidden="1" customHeight="1">
      <c r="A152" s="132"/>
      <c r="B152" s="102" t="s">
        <v>1052</v>
      </c>
      <c r="C152" s="103" t="s">
        <v>283</v>
      </c>
      <c r="D152" s="192">
        <v>7050000</v>
      </c>
    </row>
    <row r="153" spans="1:4" ht="20.100000000000001" hidden="1" customHeight="1">
      <c r="A153" s="132"/>
      <c r="B153" s="102" t="s">
        <v>1053</v>
      </c>
      <c r="C153" s="103" t="s">
        <v>384</v>
      </c>
      <c r="D153" s="192">
        <v>1810000</v>
      </c>
    </row>
    <row r="154" spans="1:4" ht="20.100000000000001" hidden="1" customHeight="1">
      <c r="A154" s="132"/>
      <c r="B154" s="102" t="s">
        <v>1054</v>
      </c>
      <c r="C154" s="103" t="s">
        <v>143</v>
      </c>
      <c r="D154" s="192"/>
    </row>
    <row r="155" spans="1:4" ht="20.100000000000001" hidden="1" customHeight="1">
      <c r="A155" s="132"/>
      <c r="B155" s="102" t="s">
        <v>1055</v>
      </c>
      <c r="C155" s="103" t="s">
        <v>145</v>
      </c>
      <c r="D155" s="192"/>
    </row>
    <row r="156" spans="1:4" ht="20.100000000000001" hidden="1" customHeight="1">
      <c r="A156" s="132"/>
      <c r="B156" s="102" t="s">
        <v>1056</v>
      </c>
      <c r="C156" s="103" t="s">
        <v>147</v>
      </c>
      <c r="D156" s="192">
        <v>6770000</v>
      </c>
    </row>
    <row r="157" spans="1:4" ht="20.100000000000001" hidden="1" customHeight="1">
      <c r="A157" s="132"/>
      <c r="B157" s="102" t="s">
        <v>1057</v>
      </c>
      <c r="C157" s="103" t="s">
        <v>389</v>
      </c>
      <c r="D157" s="192"/>
    </row>
    <row r="158" spans="1:4" ht="20.100000000000001" hidden="1" customHeight="1">
      <c r="A158" s="132"/>
      <c r="B158" s="102" t="s">
        <v>1058</v>
      </c>
      <c r="C158" s="103" t="s">
        <v>391</v>
      </c>
      <c r="D158" s="192">
        <v>182817000</v>
      </c>
    </row>
    <row r="159" spans="1:4" ht="20.100000000000001" hidden="1" customHeight="1">
      <c r="A159" s="132"/>
      <c r="B159" s="102" t="s">
        <v>1059</v>
      </c>
      <c r="C159" s="103" t="s">
        <v>163</v>
      </c>
      <c r="D159" s="192"/>
    </row>
    <row r="160" spans="1:4" ht="20.100000000000001" hidden="1" customHeight="1">
      <c r="A160" s="132"/>
      <c r="B160" s="102" t="s">
        <v>1060</v>
      </c>
      <c r="C160" s="103" t="s">
        <v>352</v>
      </c>
      <c r="D160" s="192">
        <v>30000000</v>
      </c>
    </row>
    <row r="161" spans="1:4" ht="20.100000000000001" hidden="1" customHeight="1">
      <c r="A161" s="132"/>
      <c r="B161" s="102" t="s">
        <v>1061</v>
      </c>
      <c r="C161" s="103" t="s">
        <v>151</v>
      </c>
      <c r="D161" s="192"/>
    </row>
    <row r="162" spans="1:4" ht="20.100000000000001" hidden="1" customHeight="1">
      <c r="A162" s="132"/>
      <c r="B162" s="102" t="s">
        <v>1062</v>
      </c>
      <c r="C162" s="103" t="s">
        <v>153</v>
      </c>
      <c r="D162" s="192">
        <v>4091000</v>
      </c>
    </row>
    <row r="163" spans="1:4" ht="20.100000000000001" hidden="1" customHeight="1">
      <c r="A163" s="132"/>
      <c r="B163" s="102" t="s">
        <v>1063</v>
      </c>
      <c r="C163" s="103" t="s">
        <v>155</v>
      </c>
      <c r="D163" s="192">
        <v>2284000</v>
      </c>
    </row>
    <row r="164" spans="1:4" ht="20.100000000000001" hidden="1" customHeight="1">
      <c r="A164" s="132"/>
      <c r="B164" s="102" t="s">
        <v>1064</v>
      </c>
      <c r="C164" s="103" t="s">
        <v>193</v>
      </c>
      <c r="D164" s="192"/>
    </row>
    <row r="165" spans="1:4" ht="20.100000000000001" hidden="1" customHeight="1">
      <c r="A165" s="132"/>
      <c r="B165" s="102" t="s">
        <v>1065</v>
      </c>
      <c r="C165" s="103" t="s">
        <v>312</v>
      </c>
      <c r="D165" s="192">
        <v>27945000</v>
      </c>
    </row>
    <row r="166" spans="1:4" ht="20.100000000000001" hidden="1" customHeight="1">
      <c r="A166" s="132"/>
      <c r="B166" s="102" t="s">
        <v>1066</v>
      </c>
      <c r="C166" s="103" t="s">
        <v>157</v>
      </c>
      <c r="D166" s="192"/>
    </row>
    <row r="167" spans="1:4" ht="20.100000000000001" hidden="1" customHeight="1">
      <c r="A167" s="132"/>
      <c r="B167" s="102" t="s">
        <v>1067</v>
      </c>
      <c r="C167" s="103" t="s">
        <v>159</v>
      </c>
      <c r="D167" s="192">
        <v>8800000</v>
      </c>
    </row>
    <row r="168" spans="1:4" ht="20.100000000000001" hidden="1" customHeight="1">
      <c r="A168" s="132"/>
      <c r="B168" s="102" t="s">
        <v>1068</v>
      </c>
      <c r="C168" s="103" t="s">
        <v>402</v>
      </c>
      <c r="D168" s="192"/>
    </row>
    <row r="169" spans="1:4" ht="20.100000000000001" hidden="1" customHeight="1">
      <c r="A169" s="132"/>
      <c r="B169" s="102" t="s">
        <v>1069</v>
      </c>
      <c r="C169" s="103" t="s">
        <v>404</v>
      </c>
      <c r="D169" s="192">
        <v>36000000</v>
      </c>
    </row>
    <row r="170" spans="1:4" ht="20.100000000000001" customHeight="1">
      <c r="A170" s="130">
        <v>14</v>
      </c>
      <c r="B170" s="187" t="s">
        <v>1070</v>
      </c>
      <c r="C170" s="188" t="s">
        <v>406</v>
      </c>
      <c r="D170" s="192">
        <v>202000000</v>
      </c>
    </row>
    <row r="171" spans="1:4" ht="20.100000000000001" hidden="1" customHeight="1">
      <c r="A171" s="132"/>
      <c r="B171" s="102" t="s">
        <v>1071</v>
      </c>
      <c r="C171" s="103" t="s">
        <v>270</v>
      </c>
      <c r="D171" s="192"/>
    </row>
    <row r="172" spans="1:4" ht="20.100000000000001" hidden="1" customHeight="1">
      <c r="A172" s="132"/>
      <c r="B172" s="102" t="s">
        <v>1072</v>
      </c>
      <c r="C172" s="103" t="s">
        <v>272</v>
      </c>
      <c r="D172" s="192"/>
    </row>
    <row r="173" spans="1:4" ht="20.100000000000001" hidden="1" customHeight="1">
      <c r="A173" s="132"/>
      <c r="B173" s="102" t="s">
        <v>1073</v>
      </c>
      <c r="C173" s="103" t="s">
        <v>274</v>
      </c>
      <c r="D173" s="192">
        <v>202000000</v>
      </c>
    </row>
    <row r="174" spans="1:4" ht="20.100000000000001" customHeight="1">
      <c r="A174" s="130">
        <v>15</v>
      </c>
      <c r="B174" s="193" t="s">
        <v>1074</v>
      </c>
      <c r="C174" s="195" t="s">
        <v>435</v>
      </c>
      <c r="D174" s="192">
        <v>391445000</v>
      </c>
    </row>
    <row r="175" spans="1:4" ht="8.25" customHeight="1">
      <c r="A175" s="131"/>
      <c r="B175" s="194"/>
      <c r="C175" s="196"/>
      <c r="D175" s="192"/>
    </row>
    <row r="176" spans="1:4" ht="20.100000000000001" hidden="1" customHeight="1">
      <c r="A176" s="132"/>
      <c r="B176" s="102" t="s">
        <v>1075</v>
      </c>
      <c r="C176" s="103" t="s">
        <v>10</v>
      </c>
      <c r="D176" s="192"/>
    </row>
    <row r="177" spans="1:4" ht="20.100000000000001" hidden="1" customHeight="1">
      <c r="A177" s="132"/>
      <c r="B177" s="102" t="s">
        <v>1076</v>
      </c>
      <c r="C177" s="103" t="s">
        <v>177</v>
      </c>
      <c r="D177" s="192"/>
    </row>
    <row r="178" spans="1:4" ht="20.100000000000001" hidden="1" customHeight="1">
      <c r="A178" s="132"/>
      <c r="B178" s="102" t="s">
        <v>1077</v>
      </c>
      <c r="C178" s="103" t="s">
        <v>283</v>
      </c>
      <c r="D178" s="192">
        <v>3680000</v>
      </c>
    </row>
    <row r="179" spans="1:4" ht="20.100000000000001" hidden="1" customHeight="1">
      <c r="A179" s="132"/>
      <c r="B179" s="102" t="s">
        <v>1078</v>
      </c>
      <c r="C179" s="103" t="s">
        <v>384</v>
      </c>
      <c r="D179" s="192">
        <v>670000</v>
      </c>
    </row>
    <row r="180" spans="1:4" ht="20.100000000000001" hidden="1" customHeight="1">
      <c r="A180" s="132"/>
      <c r="B180" s="102" t="s">
        <v>1079</v>
      </c>
      <c r="C180" s="103" t="s">
        <v>143</v>
      </c>
      <c r="D180" s="192"/>
    </row>
    <row r="181" spans="1:4" ht="20.100000000000001" hidden="1" customHeight="1">
      <c r="A181" s="132"/>
      <c r="B181" s="102" t="s">
        <v>1080</v>
      </c>
      <c r="C181" s="103" t="s">
        <v>145</v>
      </c>
      <c r="D181" s="192"/>
    </row>
    <row r="182" spans="1:4" ht="20.100000000000001" hidden="1" customHeight="1">
      <c r="A182" s="132"/>
      <c r="B182" s="102" t="s">
        <v>1081</v>
      </c>
      <c r="C182" s="103" t="s">
        <v>147</v>
      </c>
      <c r="D182" s="192">
        <v>2888000</v>
      </c>
    </row>
    <row r="183" spans="1:4" ht="20.100000000000001" hidden="1" customHeight="1">
      <c r="A183" s="132"/>
      <c r="B183" s="102" t="s">
        <v>1082</v>
      </c>
      <c r="C183" s="103" t="s">
        <v>389</v>
      </c>
      <c r="D183" s="192"/>
    </row>
    <row r="184" spans="1:4" ht="20.100000000000001" hidden="1" customHeight="1">
      <c r="A184" s="132"/>
      <c r="B184" s="102" t="s">
        <v>1083</v>
      </c>
      <c r="C184" s="103" t="s">
        <v>1084</v>
      </c>
      <c r="D184" s="192">
        <v>30429000</v>
      </c>
    </row>
    <row r="185" spans="1:4" ht="20.100000000000001" hidden="1" customHeight="1">
      <c r="A185" s="132"/>
      <c r="B185" s="102" t="s">
        <v>1085</v>
      </c>
      <c r="C185" s="103" t="s">
        <v>163</v>
      </c>
      <c r="D185" s="192"/>
    </row>
    <row r="186" spans="1:4" ht="20.100000000000001" hidden="1" customHeight="1">
      <c r="A186" s="132"/>
      <c r="B186" s="102" t="s">
        <v>1086</v>
      </c>
      <c r="C186" s="103" t="s">
        <v>352</v>
      </c>
      <c r="D186" s="192">
        <v>152000000</v>
      </c>
    </row>
    <row r="187" spans="1:4" ht="20.100000000000001" hidden="1" customHeight="1">
      <c r="A187" s="132"/>
      <c r="B187" s="102" t="s">
        <v>1087</v>
      </c>
      <c r="C187" s="103" t="s">
        <v>151</v>
      </c>
      <c r="D187" s="192"/>
    </row>
    <row r="188" spans="1:4" ht="20.100000000000001" hidden="1" customHeight="1">
      <c r="A188" s="132"/>
      <c r="B188" s="102" t="s">
        <v>1088</v>
      </c>
      <c r="C188" s="103" t="s">
        <v>155</v>
      </c>
      <c r="D188" s="192">
        <v>3578000</v>
      </c>
    </row>
    <row r="189" spans="1:4" ht="20.100000000000001" hidden="1" customHeight="1">
      <c r="A189" s="132"/>
      <c r="B189" s="102" t="s">
        <v>1089</v>
      </c>
      <c r="C189" s="103" t="s">
        <v>193</v>
      </c>
      <c r="D189" s="192"/>
    </row>
    <row r="190" spans="1:4" ht="20.100000000000001" hidden="1" customHeight="1">
      <c r="A190" s="132"/>
      <c r="B190" s="102" t="s">
        <v>1090</v>
      </c>
      <c r="C190" s="103" t="s">
        <v>312</v>
      </c>
      <c r="D190" s="192">
        <v>32400000</v>
      </c>
    </row>
    <row r="191" spans="1:4" ht="20.100000000000001" hidden="1" customHeight="1">
      <c r="A191" s="132"/>
      <c r="B191" s="102" t="s">
        <v>1091</v>
      </c>
      <c r="C191" s="103" t="s">
        <v>157</v>
      </c>
      <c r="D191" s="192"/>
    </row>
    <row r="192" spans="1:4" ht="20.100000000000001" hidden="1" customHeight="1">
      <c r="A192" s="132"/>
      <c r="B192" s="102" t="s">
        <v>1092</v>
      </c>
      <c r="C192" s="103" t="s">
        <v>159</v>
      </c>
      <c r="D192" s="192">
        <v>7850000</v>
      </c>
    </row>
    <row r="193" spans="1:4" ht="20.100000000000001" hidden="1" customHeight="1">
      <c r="A193" s="132"/>
      <c r="B193" s="102" t="s">
        <v>1093</v>
      </c>
      <c r="C193" s="103" t="s">
        <v>207</v>
      </c>
      <c r="D193" s="192">
        <v>4350000</v>
      </c>
    </row>
    <row r="194" spans="1:4" ht="20.100000000000001" hidden="1" customHeight="1">
      <c r="A194" s="132"/>
      <c r="B194" s="102" t="s">
        <v>1094</v>
      </c>
      <c r="C194" s="103" t="s">
        <v>402</v>
      </c>
      <c r="D194" s="192"/>
    </row>
    <row r="195" spans="1:4" ht="20.100000000000001" hidden="1" customHeight="1">
      <c r="A195" s="132"/>
      <c r="B195" s="102" t="s">
        <v>1095</v>
      </c>
      <c r="C195" s="103" t="s">
        <v>404</v>
      </c>
      <c r="D195" s="192">
        <v>153600000</v>
      </c>
    </row>
    <row r="196" spans="1:4" ht="20.100000000000001" customHeight="1">
      <c r="A196" s="129" t="s">
        <v>363</v>
      </c>
      <c r="B196" s="106" t="s">
        <v>1096</v>
      </c>
      <c r="C196" s="107" t="s">
        <v>6</v>
      </c>
      <c r="D196" s="192">
        <v>1242968000</v>
      </c>
    </row>
    <row r="197" spans="1:4" ht="20.100000000000001" customHeight="1">
      <c r="A197" s="130">
        <v>16</v>
      </c>
      <c r="B197" s="187" t="s">
        <v>1097</v>
      </c>
      <c r="C197" s="188" t="s">
        <v>483</v>
      </c>
      <c r="D197" s="192">
        <v>38322000</v>
      </c>
    </row>
    <row r="198" spans="1:4" ht="20.100000000000001" hidden="1" customHeight="1">
      <c r="A198" s="132"/>
      <c r="B198" s="102" t="s">
        <v>1098</v>
      </c>
      <c r="C198" s="103" t="s">
        <v>10</v>
      </c>
      <c r="D198" s="192"/>
    </row>
    <row r="199" spans="1:4" ht="20.100000000000001" hidden="1" customHeight="1">
      <c r="A199" s="132"/>
      <c r="B199" s="102" t="s">
        <v>1099</v>
      </c>
      <c r="C199" s="103" t="s">
        <v>177</v>
      </c>
      <c r="D199" s="192"/>
    </row>
    <row r="200" spans="1:4" ht="20.100000000000001" hidden="1" customHeight="1">
      <c r="A200" s="132"/>
      <c r="B200" s="102" t="s">
        <v>1100</v>
      </c>
      <c r="C200" s="103" t="s">
        <v>283</v>
      </c>
      <c r="D200" s="192">
        <v>1040000</v>
      </c>
    </row>
    <row r="201" spans="1:4" ht="20.100000000000001" hidden="1" customHeight="1">
      <c r="A201" s="132"/>
      <c r="B201" s="102" t="s">
        <v>1101</v>
      </c>
      <c r="C201" s="103" t="s">
        <v>143</v>
      </c>
      <c r="D201" s="192"/>
    </row>
    <row r="202" spans="1:4" ht="20.100000000000001" hidden="1" customHeight="1">
      <c r="A202" s="132"/>
      <c r="B202" s="102" t="s">
        <v>1102</v>
      </c>
      <c r="C202" s="103" t="s">
        <v>145</v>
      </c>
      <c r="D202" s="192"/>
    </row>
    <row r="203" spans="1:4" ht="20.100000000000001" hidden="1" customHeight="1">
      <c r="A203" s="132"/>
      <c r="B203" s="102" t="s">
        <v>1103</v>
      </c>
      <c r="C203" s="103" t="s">
        <v>147</v>
      </c>
      <c r="D203" s="192">
        <v>2160000</v>
      </c>
    </row>
    <row r="204" spans="1:4" ht="20.100000000000001" hidden="1" customHeight="1">
      <c r="A204" s="132"/>
      <c r="B204" s="102" t="s">
        <v>1104</v>
      </c>
      <c r="C204" s="103" t="s">
        <v>163</v>
      </c>
      <c r="D204" s="192"/>
    </row>
    <row r="205" spans="1:4" ht="20.100000000000001" hidden="1" customHeight="1">
      <c r="A205" s="132"/>
      <c r="B205" s="102" t="s">
        <v>1105</v>
      </c>
      <c r="C205" s="103" t="s">
        <v>352</v>
      </c>
      <c r="D205" s="192">
        <v>8400000</v>
      </c>
    </row>
    <row r="206" spans="1:4" ht="20.100000000000001" hidden="1" customHeight="1">
      <c r="A206" s="132"/>
      <c r="B206" s="102" t="s">
        <v>1106</v>
      </c>
      <c r="C206" s="103" t="s">
        <v>151</v>
      </c>
      <c r="D206" s="192"/>
    </row>
    <row r="207" spans="1:4" ht="20.100000000000001" hidden="1" customHeight="1">
      <c r="A207" s="132"/>
      <c r="B207" s="102" t="s">
        <v>1107</v>
      </c>
      <c r="C207" s="103" t="s">
        <v>155</v>
      </c>
      <c r="D207" s="192">
        <v>951000</v>
      </c>
    </row>
    <row r="208" spans="1:4" ht="20.100000000000001" hidden="1" customHeight="1">
      <c r="A208" s="132"/>
      <c r="B208" s="102" t="s">
        <v>1108</v>
      </c>
      <c r="C208" s="103" t="s">
        <v>193</v>
      </c>
      <c r="D208" s="192"/>
    </row>
    <row r="209" spans="1:4" ht="20.100000000000001" hidden="1" customHeight="1">
      <c r="A209" s="132"/>
      <c r="B209" s="102" t="s">
        <v>1109</v>
      </c>
      <c r="C209" s="103" t="s">
        <v>195</v>
      </c>
      <c r="D209" s="192">
        <v>4671000</v>
      </c>
    </row>
    <row r="210" spans="1:4" ht="20.100000000000001" hidden="1" customHeight="1">
      <c r="A210" s="132"/>
      <c r="B210" s="102" t="s">
        <v>1110</v>
      </c>
      <c r="C210" s="103" t="s">
        <v>157</v>
      </c>
      <c r="D210" s="192"/>
    </row>
    <row r="211" spans="1:4" ht="20.100000000000001" hidden="1" customHeight="1">
      <c r="A211" s="132"/>
      <c r="B211" s="102" t="s">
        <v>1111</v>
      </c>
      <c r="C211" s="103" t="s">
        <v>159</v>
      </c>
      <c r="D211" s="192">
        <v>10000000</v>
      </c>
    </row>
    <row r="212" spans="1:4" ht="20.100000000000001" hidden="1" customHeight="1">
      <c r="A212" s="132"/>
      <c r="B212" s="102" t="s">
        <v>1112</v>
      </c>
      <c r="C212" s="103" t="s">
        <v>207</v>
      </c>
      <c r="D212" s="192">
        <v>9300000</v>
      </c>
    </row>
    <row r="213" spans="1:4" ht="20.100000000000001" hidden="1" customHeight="1">
      <c r="A213" s="132"/>
      <c r="B213" s="102" t="s">
        <v>1113</v>
      </c>
      <c r="C213" s="103" t="s">
        <v>402</v>
      </c>
      <c r="D213" s="192"/>
    </row>
    <row r="214" spans="1:4" ht="20.100000000000001" hidden="1" customHeight="1">
      <c r="A214" s="132"/>
      <c r="B214" s="102" t="s">
        <v>1114</v>
      </c>
      <c r="C214" s="103" t="s">
        <v>404</v>
      </c>
      <c r="D214" s="192">
        <v>1800000</v>
      </c>
    </row>
    <row r="215" spans="1:4" ht="34.5" customHeight="1">
      <c r="A215" s="130">
        <v>17</v>
      </c>
      <c r="B215" s="187" t="s">
        <v>1115</v>
      </c>
      <c r="C215" s="188" t="s">
        <v>20</v>
      </c>
      <c r="D215" s="192">
        <v>41872000</v>
      </c>
    </row>
    <row r="216" spans="1:4" ht="20.100000000000001" hidden="1" customHeight="1">
      <c r="A216" s="132"/>
      <c r="B216" s="102" t="s">
        <v>1116</v>
      </c>
      <c r="C216" s="103" t="s">
        <v>10</v>
      </c>
      <c r="D216" s="192"/>
    </row>
    <row r="217" spans="1:4" ht="20.100000000000001" hidden="1" customHeight="1">
      <c r="A217" s="132"/>
      <c r="B217" s="102" t="s">
        <v>1117</v>
      </c>
      <c r="C217" s="103" t="s">
        <v>177</v>
      </c>
      <c r="D217" s="192"/>
    </row>
    <row r="218" spans="1:4" ht="20.100000000000001" hidden="1" customHeight="1">
      <c r="A218" s="132"/>
      <c r="B218" s="102" t="s">
        <v>1118</v>
      </c>
      <c r="C218" s="103" t="s">
        <v>283</v>
      </c>
      <c r="D218" s="192">
        <v>2300000</v>
      </c>
    </row>
    <row r="219" spans="1:4" ht="20.100000000000001" hidden="1" customHeight="1">
      <c r="A219" s="132"/>
      <c r="B219" s="102" t="s">
        <v>1119</v>
      </c>
      <c r="C219" s="103" t="s">
        <v>143</v>
      </c>
      <c r="D219" s="192"/>
    </row>
    <row r="220" spans="1:4" ht="20.100000000000001" hidden="1" customHeight="1">
      <c r="A220" s="132"/>
      <c r="B220" s="102" t="s">
        <v>1120</v>
      </c>
      <c r="C220" s="103" t="s">
        <v>145</v>
      </c>
      <c r="D220" s="192"/>
    </row>
    <row r="221" spans="1:4" ht="20.100000000000001" hidden="1" customHeight="1">
      <c r="A221" s="132"/>
      <c r="B221" s="102" t="s">
        <v>1121</v>
      </c>
      <c r="C221" s="103" t="s">
        <v>147</v>
      </c>
      <c r="D221" s="192">
        <v>1517000</v>
      </c>
    </row>
    <row r="222" spans="1:4" ht="20.100000000000001" hidden="1" customHeight="1">
      <c r="A222" s="132"/>
      <c r="B222" s="102" t="s">
        <v>1122</v>
      </c>
      <c r="C222" s="103" t="s">
        <v>163</v>
      </c>
      <c r="D222" s="192"/>
    </row>
    <row r="223" spans="1:4" ht="20.100000000000001" hidden="1" customHeight="1">
      <c r="A223" s="132"/>
      <c r="B223" s="102" t="s">
        <v>1123</v>
      </c>
      <c r="C223" s="103" t="s">
        <v>352</v>
      </c>
      <c r="D223" s="192">
        <v>4000000</v>
      </c>
    </row>
    <row r="224" spans="1:4" ht="20.100000000000001" hidden="1" customHeight="1">
      <c r="A224" s="132"/>
      <c r="B224" s="102" t="s">
        <v>1124</v>
      </c>
      <c r="C224" s="103" t="s">
        <v>151</v>
      </c>
      <c r="D224" s="192"/>
    </row>
    <row r="225" spans="1:4" ht="20.100000000000001" hidden="1" customHeight="1">
      <c r="A225" s="132"/>
      <c r="B225" s="102" t="s">
        <v>1125</v>
      </c>
      <c r="C225" s="103" t="s">
        <v>153</v>
      </c>
      <c r="D225" s="192">
        <v>831000</v>
      </c>
    </row>
    <row r="226" spans="1:4" ht="20.100000000000001" hidden="1" customHeight="1">
      <c r="A226" s="132"/>
      <c r="B226" s="102" t="s">
        <v>1126</v>
      </c>
      <c r="C226" s="103" t="s">
        <v>155</v>
      </c>
      <c r="D226" s="192">
        <v>589000</v>
      </c>
    </row>
    <row r="227" spans="1:4" ht="20.100000000000001" hidden="1" customHeight="1">
      <c r="A227" s="132"/>
      <c r="B227" s="102" t="s">
        <v>1127</v>
      </c>
      <c r="C227" s="103" t="s">
        <v>193</v>
      </c>
      <c r="D227" s="192"/>
    </row>
    <row r="228" spans="1:4" ht="20.100000000000001" hidden="1" customHeight="1">
      <c r="A228" s="132"/>
      <c r="B228" s="102" t="s">
        <v>1128</v>
      </c>
      <c r="C228" s="103" t="s">
        <v>195</v>
      </c>
      <c r="D228" s="192">
        <v>7425000</v>
      </c>
    </row>
    <row r="229" spans="1:4" ht="20.100000000000001" hidden="1" customHeight="1">
      <c r="A229" s="132"/>
      <c r="B229" s="102" t="s">
        <v>1129</v>
      </c>
      <c r="C229" s="103" t="s">
        <v>157</v>
      </c>
      <c r="D229" s="192"/>
    </row>
    <row r="230" spans="1:4" ht="20.100000000000001" hidden="1" customHeight="1">
      <c r="A230" s="132"/>
      <c r="B230" s="102" t="s">
        <v>1130</v>
      </c>
      <c r="C230" s="103" t="s">
        <v>159</v>
      </c>
      <c r="D230" s="192">
        <v>4560000</v>
      </c>
    </row>
    <row r="231" spans="1:4" ht="20.100000000000001" hidden="1" customHeight="1">
      <c r="A231" s="132"/>
      <c r="B231" s="102" t="s">
        <v>1131</v>
      </c>
      <c r="C231" s="103" t="s">
        <v>207</v>
      </c>
      <c r="D231" s="192">
        <v>8800000</v>
      </c>
    </row>
    <row r="232" spans="1:4" ht="20.100000000000001" hidden="1" customHeight="1">
      <c r="A232" s="132"/>
      <c r="B232" s="102" t="s">
        <v>1132</v>
      </c>
      <c r="C232" s="103" t="s">
        <v>402</v>
      </c>
      <c r="D232" s="192"/>
    </row>
    <row r="233" spans="1:4" ht="20.100000000000001" hidden="1" customHeight="1">
      <c r="A233" s="132"/>
      <c r="B233" s="102" t="s">
        <v>1133</v>
      </c>
      <c r="C233" s="103" t="s">
        <v>404</v>
      </c>
      <c r="D233" s="192">
        <v>11850000</v>
      </c>
    </row>
    <row r="234" spans="1:4" ht="27" customHeight="1">
      <c r="A234" s="130">
        <v>18</v>
      </c>
      <c r="B234" s="187" t="s">
        <v>1134</v>
      </c>
      <c r="C234" s="188" t="s">
        <v>504</v>
      </c>
      <c r="D234" s="192">
        <v>359641000</v>
      </c>
    </row>
    <row r="235" spans="1:4" ht="20.100000000000001" hidden="1" customHeight="1">
      <c r="A235" s="132"/>
      <c r="B235" s="102" t="s">
        <v>1135</v>
      </c>
      <c r="C235" s="103" t="s">
        <v>10</v>
      </c>
      <c r="D235" s="192"/>
    </row>
    <row r="236" spans="1:4" ht="20.100000000000001" hidden="1" customHeight="1">
      <c r="A236" s="132"/>
      <c r="B236" s="102" t="s">
        <v>1136</v>
      </c>
      <c r="C236" s="103" t="s">
        <v>177</v>
      </c>
      <c r="D236" s="192"/>
    </row>
    <row r="237" spans="1:4" ht="20.100000000000001" hidden="1" customHeight="1">
      <c r="A237" s="132"/>
      <c r="B237" s="102" t="s">
        <v>1137</v>
      </c>
      <c r="C237" s="103" t="s">
        <v>283</v>
      </c>
      <c r="D237" s="192">
        <v>7800000</v>
      </c>
    </row>
    <row r="238" spans="1:4" ht="20.100000000000001" hidden="1" customHeight="1">
      <c r="A238" s="132"/>
      <c r="B238" s="102" t="s">
        <v>1138</v>
      </c>
      <c r="C238" s="103" t="s">
        <v>384</v>
      </c>
      <c r="D238" s="192">
        <v>1810000</v>
      </c>
    </row>
    <row r="239" spans="1:4" ht="20.100000000000001" hidden="1" customHeight="1">
      <c r="A239" s="132"/>
      <c r="B239" s="102" t="s">
        <v>1139</v>
      </c>
      <c r="C239" s="103" t="s">
        <v>143</v>
      </c>
      <c r="D239" s="192"/>
    </row>
    <row r="240" spans="1:4" ht="20.100000000000001" hidden="1" customHeight="1">
      <c r="A240" s="132"/>
      <c r="B240" s="102" t="s">
        <v>1140</v>
      </c>
      <c r="C240" s="103" t="s">
        <v>145</v>
      </c>
      <c r="D240" s="192"/>
    </row>
    <row r="241" spans="1:4" ht="20.100000000000001" hidden="1" customHeight="1">
      <c r="A241" s="132"/>
      <c r="B241" s="102" t="s">
        <v>1141</v>
      </c>
      <c r="C241" s="103" t="s">
        <v>147</v>
      </c>
      <c r="D241" s="192">
        <v>6199000</v>
      </c>
    </row>
    <row r="242" spans="1:4" ht="20.100000000000001" hidden="1" customHeight="1">
      <c r="A242" s="132"/>
      <c r="B242" s="102" t="s">
        <v>1142</v>
      </c>
      <c r="C242" s="103" t="s">
        <v>389</v>
      </c>
      <c r="D242" s="192"/>
    </row>
    <row r="243" spans="1:4" ht="20.100000000000001" hidden="1" customHeight="1">
      <c r="A243" s="132"/>
      <c r="B243" s="102" t="s">
        <v>1143</v>
      </c>
      <c r="C243" s="103" t="s">
        <v>391</v>
      </c>
      <c r="D243" s="192">
        <v>164684000</v>
      </c>
    </row>
    <row r="244" spans="1:4" ht="20.100000000000001" hidden="1" customHeight="1">
      <c r="A244" s="132"/>
      <c r="B244" s="102" t="s">
        <v>1144</v>
      </c>
      <c r="C244" s="103" t="s">
        <v>163</v>
      </c>
      <c r="D244" s="192"/>
    </row>
    <row r="245" spans="1:4" ht="20.100000000000001" hidden="1" customHeight="1">
      <c r="A245" s="132"/>
      <c r="B245" s="102" t="s">
        <v>1145</v>
      </c>
      <c r="C245" s="103" t="s">
        <v>352</v>
      </c>
      <c r="D245" s="192">
        <v>50000000</v>
      </c>
    </row>
    <row r="246" spans="1:4" ht="20.100000000000001" hidden="1" customHeight="1">
      <c r="A246" s="132"/>
      <c r="B246" s="102" t="s">
        <v>1146</v>
      </c>
      <c r="C246" s="103" t="s">
        <v>151</v>
      </c>
      <c r="D246" s="192"/>
    </row>
    <row r="247" spans="1:4" ht="20.100000000000001" hidden="1" customHeight="1">
      <c r="A247" s="132"/>
      <c r="B247" s="102" t="s">
        <v>1147</v>
      </c>
      <c r="C247" s="103" t="s">
        <v>153</v>
      </c>
      <c r="D247" s="192">
        <v>5563800</v>
      </c>
    </row>
    <row r="248" spans="1:4" ht="20.100000000000001" hidden="1" customHeight="1">
      <c r="A248" s="132"/>
      <c r="B248" s="102" t="s">
        <v>1148</v>
      </c>
      <c r="C248" s="103" t="s">
        <v>155</v>
      </c>
      <c r="D248" s="192">
        <v>1349200</v>
      </c>
    </row>
    <row r="249" spans="1:4" ht="20.100000000000001" hidden="1" customHeight="1">
      <c r="A249" s="132"/>
      <c r="B249" s="102" t="s">
        <v>1149</v>
      </c>
      <c r="C249" s="103" t="s">
        <v>193</v>
      </c>
      <c r="D249" s="192"/>
    </row>
    <row r="250" spans="1:4" ht="20.100000000000001" hidden="1" customHeight="1">
      <c r="A250" s="132"/>
      <c r="B250" s="102" t="s">
        <v>1150</v>
      </c>
      <c r="C250" s="103" t="s">
        <v>195</v>
      </c>
      <c r="D250" s="192">
        <v>42525000</v>
      </c>
    </row>
    <row r="251" spans="1:4" ht="20.100000000000001" hidden="1" customHeight="1">
      <c r="A251" s="132"/>
      <c r="B251" s="102" t="s">
        <v>1151</v>
      </c>
      <c r="C251" s="103" t="s">
        <v>157</v>
      </c>
      <c r="D251" s="192"/>
    </row>
    <row r="252" spans="1:4" ht="20.100000000000001" hidden="1" customHeight="1">
      <c r="A252" s="132"/>
      <c r="B252" s="102" t="s">
        <v>1152</v>
      </c>
      <c r="C252" s="103" t="s">
        <v>159</v>
      </c>
      <c r="D252" s="192">
        <v>16200000</v>
      </c>
    </row>
    <row r="253" spans="1:4" ht="20.100000000000001" hidden="1" customHeight="1">
      <c r="A253" s="132"/>
      <c r="B253" s="102" t="s">
        <v>1153</v>
      </c>
      <c r="C253" s="103" t="s">
        <v>207</v>
      </c>
      <c r="D253" s="192">
        <v>3510000</v>
      </c>
    </row>
    <row r="254" spans="1:4" ht="20.100000000000001" hidden="1" customHeight="1">
      <c r="A254" s="132"/>
      <c r="B254" s="102" t="s">
        <v>1154</v>
      </c>
      <c r="C254" s="103" t="s">
        <v>402</v>
      </c>
      <c r="D254" s="192"/>
    </row>
    <row r="255" spans="1:4" ht="20.100000000000001" hidden="1" customHeight="1">
      <c r="A255" s="132"/>
      <c r="B255" s="102" t="s">
        <v>1155</v>
      </c>
      <c r="C255" s="103" t="s">
        <v>404</v>
      </c>
      <c r="D255" s="192">
        <v>60000000</v>
      </c>
    </row>
    <row r="256" spans="1:4" ht="33.75" customHeight="1">
      <c r="A256" s="130">
        <v>19</v>
      </c>
      <c r="B256" s="187" t="s">
        <v>1156</v>
      </c>
      <c r="C256" s="188" t="s">
        <v>527</v>
      </c>
      <c r="D256" s="192">
        <v>406093000</v>
      </c>
    </row>
    <row r="257" spans="1:4" ht="20.100000000000001" hidden="1" customHeight="1">
      <c r="A257" s="132"/>
      <c r="B257" s="102" t="s">
        <v>1157</v>
      </c>
      <c r="C257" s="103" t="s">
        <v>10</v>
      </c>
      <c r="D257" s="192"/>
    </row>
    <row r="258" spans="1:4" ht="20.100000000000001" hidden="1" customHeight="1">
      <c r="A258" s="132"/>
      <c r="B258" s="102" t="s">
        <v>1158</v>
      </c>
      <c r="C258" s="103" t="s">
        <v>177</v>
      </c>
      <c r="D258" s="192"/>
    </row>
    <row r="259" spans="1:4" ht="20.100000000000001" hidden="1" customHeight="1">
      <c r="A259" s="132"/>
      <c r="B259" s="102" t="s">
        <v>1159</v>
      </c>
      <c r="C259" s="103" t="s">
        <v>283</v>
      </c>
      <c r="D259" s="192">
        <v>6600000</v>
      </c>
    </row>
    <row r="260" spans="1:4" ht="20.100000000000001" hidden="1" customHeight="1">
      <c r="A260" s="132"/>
      <c r="B260" s="102" t="s">
        <v>1160</v>
      </c>
      <c r="C260" s="103" t="s">
        <v>384</v>
      </c>
      <c r="D260" s="192">
        <v>1300000</v>
      </c>
    </row>
    <row r="261" spans="1:4" ht="20.100000000000001" hidden="1" customHeight="1">
      <c r="A261" s="132"/>
      <c r="B261" s="102" t="s">
        <v>1161</v>
      </c>
      <c r="C261" s="103" t="s">
        <v>143</v>
      </c>
      <c r="D261" s="192"/>
    </row>
    <row r="262" spans="1:4" ht="20.100000000000001" hidden="1" customHeight="1">
      <c r="A262" s="132"/>
      <c r="B262" s="102" t="s">
        <v>1162</v>
      </c>
      <c r="C262" s="103" t="s">
        <v>145</v>
      </c>
      <c r="D262" s="192"/>
    </row>
    <row r="263" spans="1:4" ht="20.100000000000001" hidden="1" customHeight="1">
      <c r="A263" s="132"/>
      <c r="B263" s="102" t="s">
        <v>1163</v>
      </c>
      <c r="C263" s="103" t="s">
        <v>147</v>
      </c>
      <c r="D263" s="192">
        <v>4801000</v>
      </c>
    </row>
    <row r="264" spans="1:4" ht="20.100000000000001" hidden="1" customHeight="1">
      <c r="A264" s="132"/>
      <c r="B264" s="102" t="s">
        <v>1164</v>
      </c>
      <c r="C264" s="103" t="s">
        <v>389</v>
      </c>
      <c r="D264" s="192"/>
    </row>
    <row r="265" spans="1:4" ht="20.100000000000001" hidden="1" customHeight="1">
      <c r="A265" s="132"/>
      <c r="B265" s="102" t="s">
        <v>1165</v>
      </c>
      <c r="C265" s="103" t="s">
        <v>391</v>
      </c>
      <c r="D265" s="192">
        <v>93902000</v>
      </c>
    </row>
    <row r="266" spans="1:4" ht="20.100000000000001" hidden="1" customHeight="1">
      <c r="A266" s="132"/>
      <c r="B266" s="102" t="s">
        <v>1166</v>
      </c>
      <c r="C266" s="103" t="s">
        <v>163</v>
      </c>
      <c r="D266" s="192"/>
    </row>
    <row r="267" spans="1:4" ht="20.100000000000001" hidden="1" customHeight="1">
      <c r="A267" s="132"/>
      <c r="B267" s="102" t="s">
        <v>1167</v>
      </c>
      <c r="C267" s="103" t="s">
        <v>349</v>
      </c>
      <c r="D267" s="192">
        <v>1620000</v>
      </c>
    </row>
    <row r="268" spans="1:4" ht="20.100000000000001" hidden="1" customHeight="1">
      <c r="A268" s="132"/>
      <c r="B268" s="102" t="s">
        <v>1168</v>
      </c>
      <c r="C268" s="103" t="s">
        <v>352</v>
      </c>
      <c r="D268" s="192">
        <v>118500000</v>
      </c>
    </row>
    <row r="269" spans="1:4" ht="20.100000000000001" hidden="1" customHeight="1">
      <c r="A269" s="132"/>
      <c r="B269" s="102" t="s">
        <v>1169</v>
      </c>
      <c r="C269" s="103" t="s">
        <v>151</v>
      </c>
      <c r="D269" s="192"/>
    </row>
    <row r="270" spans="1:4" ht="20.100000000000001" hidden="1" customHeight="1">
      <c r="A270" s="132"/>
      <c r="B270" s="102" t="s">
        <v>1170</v>
      </c>
      <c r="C270" s="103" t="s">
        <v>153</v>
      </c>
      <c r="D270" s="192">
        <v>1600000</v>
      </c>
    </row>
    <row r="271" spans="1:4" ht="20.100000000000001" hidden="1" customHeight="1">
      <c r="A271" s="132"/>
      <c r="B271" s="102" t="s">
        <v>1171</v>
      </c>
      <c r="C271" s="103" t="s">
        <v>155</v>
      </c>
      <c r="D271" s="192">
        <v>1470000</v>
      </c>
    </row>
    <row r="272" spans="1:4" ht="20.100000000000001" hidden="1" customHeight="1">
      <c r="A272" s="132"/>
      <c r="B272" s="102" t="s">
        <v>1172</v>
      </c>
      <c r="C272" s="103" t="s">
        <v>193</v>
      </c>
      <c r="D272" s="192"/>
    </row>
    <row r="273" spans="1:4" ht="20.100000000000001" hidden="1" customHeight="1">
      <c r="A273" s="132"/>
      <c r="B273" s="102" t="s">
        <v>1173</v>
      </c>
      <c r="C273" s="103" t="s">
        <v>312</v>
      </c>
      <c r="D273" s="192">
        <v>3000000</v>
      </c>
    </row>
    <row r="274" spans="1:4" ht="20.100000000000001" hidden="1" customHeight="1">
      <c r="A274" s="132"/>
      <c r="B274" s="102" t="s">
        <v>1174</v>
      </c>
      <c r="C274" s="103" t="s">
        <v>157</v>
      </c>
      <c r="D274" s="192"/>
    </row>
    <row r="275" spans="1:4" ht="20.100000000000001" hidden="1" customHeight="1">
      <c r="A275" s="132"/>
      <c r="B275" s="102" t="s">
        <v>1175</v>
      </c>
      <c r="C275" s="103" t="s">
        <v>159</v>
      </c>
      <c r="D275" s="192">
        <v>11500000</v>
      </c>
    </row>
    <row r="276" spans="1:4" ht="20.100000000000001" hidden="1" customHeight="1">
      <c r="A276" s="132"/>
      <c r="B276" s="102" t="s">
        <v>1176</v>
      </c>
      <c r="C276" s="103" t="s">
        <v>207</v>
      </c>
      <c r="D276" s="192">
        <v>4600000</v>
      </c>
    </row>
    <row r="277" spans="1:4" ht="20.100000000000001" hidden="1" customHeight="1">
      <c r="A277" s="132"/>
      <c r="B277" s="102" t="s">
        <v>1177</v>
      </c>
      <c r="C277" s="103" t="s">
        <v>402</v>
      </c>
      <c r="D277" s="192"/>
    </row>
    <row r="278" spans="1:4" ht="20.100000000000001" hidden="1" customHeight="1">
      <c r="A278" s="132"/>
      <c r="B278" s="102" t="s">
        <v>1178</v>
      </c>
      <c r="C278" s="103" t="s">
        <v>404</v>
      </c>
      <c r="D278" s="192">
        <v>157200000</v>
      </c>
    </row>
    <row r="279" spans="1:4" ht="20.100000000000001" customHeight="1">
      <c r="A279" s="130">
        <v>20</v>
      </c>
      <c r="B279" s="187" t="s">
        <v>1179</v>
      </c>
      <c r="C279" s="188" t="s">
        <v>551</v>
      </c>
      <c r="D279" s="192">
        <v>122708000</v>
      </c>
    </row>
    <row r="280" spans="1:4" ht="20.100000000000001" hidden="1" customHeight="1">
      <c r="A280" s="132"/>
      <c r="B280" s="102" t="s">
        <v>1180</v>
      </c>
      <c r="C280" s="103" t="s">
        <v>10</v>
      </c>
      <c r="D280" s="192"/>
    </row>
    <row r="281" spans="1:4" ht="20.100000000000001" hidden="1" customHeight="1">
      <c r="A281" s="132"/>
      <c r="B281" s="102" t="s">
        <v>1181</v>
      </c>
      <c r="C281" s="103" t="s">
        <v>177</v>
      </c>
      <c r="D281" s="192"/>
    </row>
    <row r="282" spans="1:4" ht="20.100000000000001" hidden="1" customHeight="1">
      <c r="A282" s="132"/>
      <c r="B282" s="102" t="s">
        <v>1182</v>
      </c>
      <c r="C282" s="103" t="s">
        <v>283</v>
      </c>
      <c r="D282" s="192">
        <v>3900000</v>
      </c>
    </row>
    <row r="283" spans="1:4" ht="20.100000000000001" hidden="1" customHeight="1">
      <c r="A283" s="132"/>
      <c r="B283" s="102" t="s">
        <v>1183</v>
      </c>
      <c r="C283" s="103" t="s">
        <v>341</v>
      </c>
      <c r="D283" s="192"/>
    </row>
    <row r="284" spans="1:4" ht="20.100000000000001" hidden="1" customHeight="1">
      <c r="A284" s="132"/>
      <c r="B284" s="102" t="s">
        <v>1184</v>
      </c>
      <c r="C284" s="103" t="s">
        <v>1185</v>
      </c>
      <c r="D284" s="192">
        <v>990000</v>
      </c>
    </row>
    <row r="285" spans="1:4" ht="20.100000000000001" hidden="1" customHeight="1">
      <c r="A285" s="132"/>
      <c r="B285" s="102" t="s">
        <v>1186</v>
      </c>
      <c r="C285" s="103" t="s">
        <v>143</v>
      </c>
      <c r="D285" s="192"/>
    </row>
    <row r="286" spans="1:4" ht="20.100000000000001" hidden="1" customHeight="1">
      <c r="A286" s="132"/>
      <c r="B286" s="102" t="s">
        <v>1187</v>
      </c>
      <c r="C286" s="103" t="s">
        <v>145</v>
      </c>
      <c r="D286" s="192"/>
    </row>
    <row r="287" spans="1:4" ht="20.100000000000001" hidden="1" customHeight="1">
      <c r="A287" s="132"/>
      <c r="B287" s="102" t="s">
        <v>1188</v>
      </c>
      <c r="C287" s="103" t="s">
        <v>147</v>
      </c>
      <c r="D287" s="192">
        <v>1540000</v>
      </c>
    </row>
    <row r="288" spans="1:4" ht="20.100000000000001" hidden="1" customHeight="1">
      <c r="A288" s="132"/>
      <c r="B288" s="102" t="s">
        <v>1189</v>
      </c>
      <c r="C288" s="103" t="s">
        <v>163</v>
      </c>
      <c r="D288" s="192"/>
    </row>
    <row r="289" spans="1:4" ht="20.100000000000001" hidden="1" customHeight="1">
      <c r="A289" s="132"/>
      <c r="B289" s="102" t="s">
        <v>1190</v>
      </c>
      <c r="C289" s="103" t="s">
        <v>349</v>
      </c>
      <c r="D289" s="192">
        <v>19706000</v>
      </c>
    </row>
    <row r="290" spans="1:4" ht="20.100000000000001" hidden="1" customHeight="1">
      <c r="A290" s="132"/>
      <c r="B290" s="102" t="s">
        <v>1191</v>
      </c>
      <c r="C290" s="103" t="s">
        <v>151</v>
      </c>
      <c r="D290" s="192"/>
    </row>
    <row r="291" spans="1:4" ht="20.100000000000001" hidden="1" customHeight="1">
      <c r="A291" s="132"/>
      <c r="B291" s="102" t="s">
        <v>1192</v>
      </c>
      <c r="C291" s="103" t="s">
        <v>153</v>
      </c>
      <c r="D291" s="192">
        <v>3305000</v>
      </c>
    </row>
    <row r="292" spans="1:4" ht="20.100000000000001" hidden="1" customHeight="1">
      <c r="A292" s="132"/>
      <c r="B292" s="102" t="s">
        <v>1193</v>
      </c>
      <c r="C292" s="103" t="s">
        <v>155</v>
      </c>
      <c r="D292" s="192">
        <v>1851000</v>
      </c>
    </row>
    <row r="293" spans="1:4" ht="20.100000000000001" hidden="1" customHeight="1">
      <c r="A293" s="132"/>
      <c r="B293" s="102" t="s">
        <v>1194</v>
      </c>
      <c r="C293" s="103" t="s">
        <v>712</v>
      </c>
      <c r="D293" s="192"/>
    </row>
    <row r="294" spans="1:4" ht="20.100000000000001" hidden="1" customHeight="1">
      <c r="A294" s="132"/>
      <c r="B294" s="102" t="s">
        <v>1195</v>
      </c>
      <c r="C294" s="103" t="s">
        <v>714</v>
      </c>
      <c r="D294" s="192">
        <v>61000000</v>
      </c>
    </row>
    <row r="295" spans="1:4" ht="20.100000000000001" hidden="1" customHeight="1">
      <c r="A295" s="132"/>
      <c r="B295" s="102" t="s">
        <v>1196</v>
      </c>
      <c r="C295" s="103" t="s">
        <v>565</v>
      </c>
      <c r="D295" s="192"/>
    </row>
    <row r="296" spans="1:4" ht="20.100000000000001" hidden="1" customHeight="1">
      <c r="A296" s="132"/>
      <c r="B296" s="102" t="s">
        <v>1197</v>
      </c>
      <c r="C296" s="103" t="s">
        <v>567</v>
      </c>
      <c r="D296" s="192">
        <v>1527000</v>
      </c>
    </row>
    <row r="297" spans="1:4" ht="20.100000000000001" hidden="1" customHeight="1">
      <c r="A297" s="132"/>
      <c r="B297" s="102" t="s">
        <v>1198</v>
      </c>
      <c r="C297" s="103" t="s">
        <v>193</v>
      </c>
      <c r="D297" s="192"/>
    </row>
    <row r="298" spans="1:4" ht="20.100000000000001" hidden="1" customHeight="1">
      <c r="A298" s="132"/>
      <c r="B298" s="102" t="s">
        <v>1199</v>
      </c>
      <c r="C298" s="103" t="s">
        <v>312</v>
      </c>
      <c r="D298" s="192">
        <v>7809000</v>
      </c>
    </row>
    <row r="299" spans="1:4" ht="20.100000000000001" hidden="1" customHeight="1">
      <c r="A299" s="132"/>
      <c r="B299" s="102" t="s">
        <v>1200</v>
      </c>
      <c r="C299" s="103" t="s">
        <v>157</v>
      </c>
      <c r="D299" s="192"/>
    </row>
    <row r="300" spans="1:4" ht="20.100000000000001" hidden="1" customHeight="1">
      <c r="A300" s="132"/>
      <c r="B300" s="102" t="s">
        <v>1201</v>
      </c>
      <c r="C300" s="103" t="s">
        <v>159</v>
      </c>
      <c r="D300" s="192">
        <v>9280000</v>
      </c>
    </row>
    <row r="301" spans="1:4" ht="20.100000000000001" hidden="1" customHeight="1">
      <c r="A301" s="132"/>
      <c r="B301" s="102" t="s">
        <v>1202</v>
      </c>
      <c r="C301" s="103" t="s">
        <v>207</v>
      </c>
      <c r="D301" s="192">
        <v>11800000</v>
      </c>
    </row>
    <row r="302" spans="1:4" ht="33" customHeight="1">
      <c r="A302" s="130">
        <v>21</v>
      </c>
      <c r="B302" s="187" t="s">
        <v>1203</v>
      </c>
      <c r="C302" s="188" t="s">
        <v>576</v>
      </c>
      <c r="D302" s="192">
        <v>274332000</v>
      </c>
    </row>
    <row r="303" spans="1:4" ht="20.100000000000001" hidden="1" customHeight="1">
      <c r="A303" s="132"/>
      <c r="B303" s="102" t="s">
        <v>1204</v>
      </c>
      <c r="C303" s="103" t="s">
        <v>10</v>
      </c>
      <c r="D303" s="192"/>
    </row>
    <row r="304" spans="1:4" ht="20.100000000000001" hidden="1" customHeight="1">
      <c r="A304" s="132"/>
      <c r="B304" s="102" t="s">
        <v>1205</v>
      </c>
      <c r="C304" s="103" t="s">
        <v>177</v>
      </c>
      <c r="D304" s="192"/>
    </row>
    <row r="305" spans="1:4" ht="20.100000000000001" hidden="1" customHeight="1">
      <c r="A305" s="132"/>
      <c r="B305" s="102" t="s">
        <v>1206</v>
      </c>
      <c r="C305" s="103" t="s">
        <v>283</v>
      </c>
      <c r="D305" s="192">
        <v>10600000</v>
      </c>
    </row>
    <row r="306" spans="1:4" ht="20.100000000000001" hidden="1" customHeight="1">
      <c r="A306" s="132"/>
      <c r="B306" s="102" t="s">
        <v>1207</v>
      </c>
      <c r="C306" s="103" t="s">
        <v>341</v>
      </c>
      <c r="D306" s="192"/>
    </row>
    <row r="307" spans="1:4" ht="20.100000000000001" hidden="1" customHeight="1">
      <c r="A307" s="132"/>
      <c r="B307" s="102" t="s">
        <v>1208</v>
      </c>
      <c r="C307" s="103" t="s">
        <v>283</v>
      </c>
      <c r="D307" s="192">
        <v>73000000</v>
      </c>
    </row>
    <row r="308" spans="1:4" ht="20.100000000000001" hidden="1" customHeight="1">
      <c r="A308" s="132"/>
      <c r="B308" s="102" t="s">
        <v>1209</v>
      </c>
      <c r="C308" s="103" t="s">
        <v>143</v>
      </c>
      <c r="D308" s="192"/>
    </row>
    <row r="309" spans="1:4" ht="20.100000000000001" hidden="1" customHeight="1">
      <c r="A309" s="132"/>
      <c r="B309" s="102" t="s">
        <v>1210</v>
      </c>
      <c r="C309" s="103" t="s">
        <v>145</v>
      </c>
      <c r="D309" s="192"/>
    </row>
    <row r="310" spans="1:4" ht="20.100000000000001" hidden="1" customHeight="1">
      <c r="A310" s="132"/>
      <c r="B310" s="102" t="s">
        <v>1211</v>
      </c>
      <c r="C310" s="103" t="s">
        <v>147</v>
      </c>
      <c r="D310" s="192">
        <v>4158000</v>
      </c>
    </row>
    <row r="311" spans="1:4" ht="20.100000000000001" hidden="1" customHeight="1">
      <c r="A311" s="132"/>
      <c r="B311" s="102" t="s">
        <v>1212</v>
      </c>
      <c r="C311" s="103" t="s">
        <v>163</v>
      </c>
      <c r="D311" s="192"/>
    </row>
    <row r="312" spans="1:4" ht="20.100000000000001" hidden="1" customHeight="1">
      <c r="A312" s="132"/>
      <c r="B312" s="102" t="s">
        <v>1213</v>
      </c>
      <c r="C312" s="103" t="s">
        <v>447</v>
      </c>
      <c r="D312" s="192">
        <v>15000000</v>
      </c>
    </row>
    <row r="313" spans="1:4" ht="20.100000000000001" hidden="1" customHeight="1">
      <c r="A313" s="132"/>
      <c r="B313" s="102" t="s">
        <v>1214</v>
      </c>
      <c r="C313" s="103" t="s">
        <v>352</v>
      </c>
      <c r="D313" s="192">
        <v>42500000</v>
      </c>
    </row>
    <row r="314" spans="1:4" ht="20.100000000000001" hidden="1" customHeight="1">
      <c r="A314" s="132"/>
      <c r="B314" s="102" t="s">
        <v>1215</v>
      </c>
      <c r="C314" s="103" t="s">
        <v>151</v>
      </c>
      <c r="D314" s="192"/>
    </row>
    <row r="315" spans="1:4" ht="20.100000000000001" hidden="1" customHeight="1">
      <c r="A315" s="132"/>
      <c r="B315" s="102" t="s">
        <v>1216</v>
      </c>
      <c r="C315" s="103" t="s">
        <v>155</v>
      </c>
      <c r="D315" s="192">
        <v>3159000</v>
      </c>
    </row>
    <row r="316" spans="1:4" ht="20.100000000000001" hidden="1" customHeight="1">
      <c r="A316" s="132"/>
      <c r="B316" s="102" t="s">
        <v>1217</v>
      </c>
      <c r="C316" s="103" t="s">
        <v>193</v>
      </c>
      <c r="D316" s="192"/>
    </row>
    <row r="317" spans="1:4" ht="20.100000000000001" hidden="1" customHeight="1">
      <c r="A317" s="132"/>
      <c r="B317" s="102" t="s">
        <v>1218</v>
      </c>
      <c r="C317" s="103" t="s">
        <v>312</v>
      </c>
      <c r="D317" s="192">
        <v>43335000</v>
      </c>
    </row>
    <row r="318" spans="1:4" ht="20.100000000000001" hidden="1" customHeight="1">
      <c r="A318" s="132"/>
      <c r="B318" s="102" t="s">
        <v>1219</v>
      </c>
      <c r="C318" s="103" t="s">
        <v>157</v>
      </c>
      <c r="D318" s="192"/>
    </row>
    <row r="319" spans="1:4" ht="20.100000000000001" hidden="1" customHeight="1">
      <c r="A319" s="132"/>
      <c r="B319" s="102" t="s">
        <v>1220</v>
      </c>
      <c r="C319" s="103" t="s">
        <v>159</v>
      </c>
      <c r="D319" s="192">
        <v>6080000</v>
      </c>
    </row>
    <row r="320" spans="1:4" ht="20.100000000000001" hidden="1" customHeight="1">
      <c r="A320" s="132"/>
      <c r="B320" s="102" t="s">
        <v>1221</v>
      </c>
      <c r="C320" s="103" t="s">
        <v>207</v>
      </c>
      <c r="D320" s="192">
        <v>69300000</v>
      </c>
    </row>
    <row r="321" spans="1:4" ht="20.100000000000001" hidden="1" customHeight="1">
      <c r="A321" s="132"/>
      <c r="B321" s="102" t="s">
        <v>1222</v>
      </c>
      <c r="C321" s="103" t="s">
        <v>402</v>
      </c>
      <c r="D321" s="192"/>
    </row>
    <row r="322" spans="1:4" ht="20.100000000000001" hidden="1" customHeight="1">
      <c r="A322" s="132"/>
      <c r="B322" s="102" t="s">
        <v>1223</v>
      </c>
      <c r="C322" s="103" t="s">
        <v>404</v>
      </c>
      <c r="D322" s="192">
        <v>7200000</v>
      </c>
    </row>
    <row r="323" spans="1:4" ht="20.100000000000001" customHeight="1">
      <c r="A323" s="129" t="s">
        <v>458</v>
      </c>
      <c r="B323" s="106" t="s">
        <v>1224</v>
      </c>
      <c r="C323" s="107" t="s">
        <v>633</v>
      </c>
      <c r="D323" s="192">
        <v>347320000</v>
      </c>
    </row>
    <row r="324" spans="1:4" ht="37.5" customHeight="1">
      <c r="A324" s="130">
        <v>22</v>
      </c>
      <c r="B324" s="187" t="s">
        <v>1225</v>
      </c>
      <c r="C324" s="188" t="s">
        <v>635</v>
      </c>
      <c r="D324" s="192">
        <v>51141000</v>
      </c>
    </row>
    <row r="325" spans="1:4" ht="20.100000000000001" hidden="1" customHeight="1">
      <c r="A325" s="132"/>
      <c r="B325" s="102" t="s">
        <v>1226</v>
      </c>
      <c r="C325" s="103" t="s">
        <v>10</v>
      </c>
      <c r="D325" s="192"/>
    </row>
    <row r="326" spans="1:4" ht="20.100000000000001" hidden="1" customHeight="1">
      <c r="A326" s="132"/>
      <c r="B326" s="102" t="s">
        <v>1227</v>
      </c>
      <c r="C326" s="103" t="s">
        <v>177</v>
      </c>
      <c r="D326" s="192"/>
    </row>
    <row r="327" spans="1:4" ht="20.100000000000001" hidden="1" customHeight="1">
      <c r="A327" s="132"/>
      <c r="B327" s="102" t="s">
        <v>1228</v>
      </c>
      <c r="C327" s="103" t="s">
        <v>283</v>
      </c>
      <c r="D327" s="192">
        <v>11100000</v>
      </c>
    </row>
    <row r="328" spans="1:4" ht="20.100000000000001" hidden="1" customHeight="1">
      <c r="A328" s="132"/>
      <c r="B328" s="102" t="s">
        <v>1229</v>
      </c>
      <c r="C328" s="103" t="s">
        <v>143</v>
      </c>
      <c r="D328" s="192"/>
    </row>
    <row r="329" spans="1:4" ht="20.100000000000001" hidden="1" customHeight="1">
      <c r="A329" s="132"/>
      <c r="B329" s="102" t="s">
        <v>1230</v>
      </c>
      <c r="C329" s="103" t="s">
        <v>145</v>
      </c>
      <c r="D329" s="192"/>
    </row>
    <row r="330" spans="1:4" ht="20.100000000000001" hidden="1" customHeight="1">
      <c r="A330" s="132"/>
      <c r="B330" s="102" t="s">
        <v>1231</v>
      </c>
      <c r="C330" s="103" t="s">
        <v>147</v>
      </c>
      <c r="D330" s="192">
        <v>1038000</v>
      </c>
    </row>
    <row r="331" spans="1:4" ht="20.100000000000001" hidden="1" customHeight="1">
      <c r="A331" s="132"/>
      <c r="B331" s="102" t="s">
        <v>1232</v>
      </c>
      <c r="C331" s="103" t="s">
        <v>151</v>
      </c>
      <c r="D331" s="192"/>
    </row>
    <row r="332" spans="1:4" ht="20.100000000000001" hidden="1" customHeight="1">
      <c r="A332" s="132"/>
      <c r="B332" s="102" t="s">
        <v>1233</v>
      </c>
      <c r="C332" s="103" t="s">
        <v>155</v>
      </c>
      <c r="D332" s="192">
        <v>980000</v>
      </c>
    </row>
    <row r="333" spans="1:4" ht="20.100000000000001" hidden="1" customHeight="1">
      <c r="A333" s="132"/>
      <c r="B333" s="102" t="s">
        <v>1234</v>
      </c>
      <c r="C333" s="103" t="s">
        <v>193</v>
      </c>
      <c r="D333" s="192"/>
    </row>
    <row r="334" spans="1:4" ht="20.100000000000001" hidden="1" customHeight="1">
      <c r="A334" s="132"/>
      <c r="B334" s="102" t="s">
        <v>1235</v>
      </c>
      <c r="C334" s="103" t="s">
        <v>195</v>
      </c>
      <c r="D334" s="192">
        <v>12353000</v>
      </c>
    </row>
    <row r="335" spans="1:4" ht="20.100000000000001" hidden="1" customHeight="1">
      <c r="A335" s="132"/>
      <c r="B335" s="102" t="s">
        <v>1236</v>
      </c>
      <c r="C335" s="103" t="s">
        <v>157</v>
      </c>
      <c r="D335" s="192"/>
    </row>
    <row r="336" spans="1:4" ht="20.100000000000001" hidden="1" customHeight="1">
      <c r="A336" s="132"/>
      <c r="B336" s="102" t="s">
        <v>1237</v>
      </c>
      <c r="C336" s="103" t="s">
        <v>159</v>
      </c>
      <c r="D336" s="192">
        <v>18970000</v>
      </c>
    </row>
    <row r="337" spans="1:4" ht="20.100000000000001" hidden="1" customHeight="1">
      <c r="A337" s="132"/>
      <c r="B337" s="102" t="s">
        <v>1238</v>
      </c>
      <c r="C337" s="103" t="s">
        <v>207</v>
      </c>
      <c r="D337" s="192">
        <v>6700000</v>
      </c>
    </row>
    <row r="338" spans="1:4" ht="26.25" customHeight="1">
      <c r="A338" s="130">
        <v>23</v>
      </c>
      <c r="B338" s="187" t="s">
        <v>1239</v>
      </c>
      <c r="C338" s="188" t="s">
        <v>649</v>
      </c>
      <c r="D338" s="192">
        <v>70289000</v>
      </c>
    </row>
    <row r="339" spans="1:4" ht="20.100000000000001" hidden="1" customHeight="1">
      <c r="A339" s="132"/>
      <c r="B339" s="102" t="s">
        <v>1240</v>
      </c>
      <c r="C339" s="103" t="s">
        <v>10</v>
      </c>
      <c r="D339" s="192"/>
    </row>
    <row r="340" spans="1:4" ht="20.100000000000001" hidden="1" customHeight="1">
      <c r="A340" s="132"/>
      <c r="B340" s="102" t="s">
        <v>1241</v>
      </c>
      <c r="C340" s="103" t="s">
        <v>177</v>
      </c>
      <c r="D340" s="192"/>
    </row>
    <row r="341" spans="1:4" ht="20.100000000000001" hidden="1" customHeight="1">
      <c r="A341" s="132"/>
      <c r="B341" s="102" t="s">
        <v>1242</v>
      </c>
      <c r="C341" s="103" t="s">
        <v>283</v>
      </c>
      <c r="D341" s="192">
        <v>12500000</v>
      </c>
    </row>
    <row r="342" spans="1:4" ht="20.100000000000001" hidden="1" customHeight="1">
      <c r="A342" s="132"/>
      <c r="B342" s="102" t="s">
        <v>1243</v>
      </c>
      <c r="C342" s="103" t="s">
        <v>341</v>
      </c>
      <c r="D342" s="192"/>
    </row>
    <row r="343" spans="1:4" ht="20.100000000000001" hidden="1" customHeight="1">
      <c r="A343" s="132"/>
      <c r="B343" s="102" t="s">
        <v>1244</v>
      </c>
      <c r="C343" s="103" t="s">
        <v>283</v>
      </c>
      <c r="D343" s="192">
        <v>14900000</v>
      </c>
    </row>
    <row r="344" spans="1:4" ht="20.100000000000001" hidden="1" customHeight="1">
      <c r="A344" s="132"/>
      <c r="B344" s="102" t="s">
        <v>1245</v>
      </c>
      <c r="C344" s="103" t="s">
        <v>143</v>
      </c>
      <c r="D344" s="192"/>
    </row>
    <row r="345" spans="1:4" ht="20.100000000000001" hidden="1" customHeight="1">
      <c r="A345" s="132"/>
      <c r="B345" s="102" t="s">
        <v>1246</v>
      </c>
      <c r="C345" s="103" t="s">
        <v>145</v>
      </c>
      <c r="D345" s="192"/>
    </row>
    <row r="346" spans="1:4" ht="20.100000000000001" hidden="1" customHeight="1">
      <c r="A346" s="132"/>
      <c r="B346" s="102" t="s">
        <v>1247</v>
      </c>
      <c r="C346" s="103" t="s">
        <v>147</v>
      </c>
      <c r="D346" s="192">
        <v>961000</v>
      </c>
    </row>
    <row r="347" spans="1:4" ht="20.100000000000001" hidden="1" customHeight="1">
      <c r="A347" s="132"/>
      <c r="B347" s="102" t="s">
        <v>1248</v>
      </c>
      <c r="C347" s="103" t="s">
        <v>151</v>
      </c>
      <c r="D347" s="192"/>
    </row>
    <row r="348" spans="1:4" ht="20.100000000000001" hidden="1" customHeight="1">
      <c r="A348" s="132"/>
      <c r="B348" s="102" t="s">
        <v>1249</v>
      </c>
      <c r="C348" s="103" t="s">
        <v>155</v>
      </c>
      <c r="D348" s="192">
        <v>1403000</v>
      </c>
    </row>
    <row r="349" spans="1:4" ht="20.100000000000001" hidden="1" customHeight="1">
      <c r="A349" s="132"/>
      <c r="B349" s="102" t="s">
        <v>1250</v>
      </c>
      <c r="C349" s="103" t="s">
        <v>193</v>
      </c>
      <c r="D349" s="192"/>
    </row>
    <row r="350" spans="1:4" ht="20.100000000000001" hidden="1" customHeight="1">
      <c r="A350" s="132"/>
      <c r="B350" s="102" t="s">
        <v>1251</v>
      </c>
      <c r="C350" s="103" t="s">
        <v>195</v>
      </c>
      <c r="D350" s="192">
        <v>6885000</v>
      </c>
    </row>
    <row r="351" spans="1:4" ht="20.100000000000001" hidden="1" customHeight="1">
      <c r="A351" s="132"/>
      <c r="B351" s="102" t="s">
        <v>1252</v>
      </c>
      <c r="C351" s="103" t="s">
        <v>1253</v>
      </c>
      <c r="D351" s="192"/>
    </row>
    <row r="352" spans="1:4" ht="20.100000000000001" hidden="1" customHeight="1">
      <c r="A352" s="132"/>
      <c r="B352" s="102" t="s">
        <v>1254</v>
      </c>
      <c r="C352" s="103" t="s">
        <v>1255</v>
      </c>
      <c r="D352" s="192">
        <v>25000000</v>
      </c>
    </row>
    <row r="353" spans="1:4" ht="20.100000000000001" hidden="1" customHeight="1">
      <c r="A353" s="132"/>
      <c r="B353" s="102" t="s">
        <v>1256</v>
      </c>
      <c r="C353" s="103" t="s">
        <v>157</v>
      </c>
      <c r="D353" s="192"/>
    </row>
    <row r="354" spans="1:4" ht="20.100000000000001" hidden="1" customHeight="1">
      <c r="A354" s="132"/>
      <c r="B354" s="102" t="s">
        <v>1257</v>
      </c>
      <c r="C354" s="103" t="s">
        <v>159</v>
      </c>
      <c r="D354" s="192">
        <v>3440000</v>
      </c>
    </row>
    <row r="355" spans="1:4" ht="20.100000000000001" hidden="1" customHeight="1">
      <c r="A355" s="132"/>
      <c r="B355" s="102" t="s">
        <v>1258</v>
      </c>
      <c r="C355" s="103" t="s">
        <v>207</v>
      </c>
      <c r="D355" s="192">
        <v>5200000</v>
      </c>
    </row>
    <row r="356" spans="1:4" ht="24.75" customHeight="1">
      <c r="A356" s="130">
        <v>24</v>
      </c>
      <c r="B356" s="187" t="s">
        <v>1259</v>
      </c>
      <c r="C356" s="188" t="s">
        <v>1260</v>
      </c>
      <c r="D356" s="192">
        <v>46624000</v>
      </c>
    </row>
    <row r="357" spans="1:4" ht="20.100000000000001" hidden="1" customHeight="1">
      <c r="A357" s="132"/>
      <c r="B357" s="102" t="s">
        <v>1261</v>
      </c>
      <c r="C357" s="103" t="s">
        <v>10</v>
      </c>
      <c r="D357" s="192"/>
    </row>
    <row r="358" spans="1:4" ht="20.100000000000001" hidden="1" customHeight="1">
      <c r="A358" s="132"/>
      <c r="B358" s="102" t="s">
        <v>1262</v>
      </c>
      <c r="C358" s="103" t="s">
        <v>177</v>
      </c>
      <c r="D358" s="192"/>
    </row>
    <row r="359" spans="1:4" ht="20.100000000000001" hidden="1" customHeight="1">
      <c r="A359" s="132"/>
      <c r="B359" s="102" t="s">
        <v>1263</v>
      </c>
      <c r="C359" s="103" t="s">
        <v>283</v>
      </c>
      <c r="D359" s="192">
        <v>15625000</v>
      </c>
    </row>
    <row r="360" spans="1:4" ht="20.100000000000001" hidden="1" customHeight="1">
      <c r="A360" s="132"/>
      <c r="B360" s="102" t="s">
        <v>1264</v>
      </c>
      <c r="C360" s="103" t="s">
        <v>341</v>
      </c>
      <c r="D360" s="192"/>
    </row>
    <row r="361" spans="1:4" ht="20.100000000000001" hidden="1" customHeight="1">
      <c r="A361" s="132"/>
      <c r="B361" s="102" t="s">
        <v>1265</v>
      </c>
      <c r="C361" s="103" t="s">
        <v>283</v>
      </c>
      <c r="D361" s="192">
        <v>14750000</v>
      </c>
    </row>
    <row r="362" spans="1:4" ht="20.100000000000001" hidden="1" customHeight="1">
      <c r="A362" s="132"/>
      <c r="B362" s="102" t="s">
        <v>1266</v>
      </c>
      <c r="C362" s="103" t="s">
        <v>143</v>
      </c>
      <c r="D362" s="192"/>
    </row>
    <row r="363" spans="1:4" ht="20.100000000000001" hidden="1" customHeight="1">
      <c r="A363" s="132"/>
      <c r="B363" s="102" t="s">
        <v>1267</v>
      </c>
      <c r="C363" s="103" t="s">
        <v>145</v>
      </c>
      <c r="D363" s="192"/>
    </row>
    <row r="364" spans="1:4" ht="20.100000000000001" hidden="1" customHeight="1">
      <c r="A364" s="132"/>
      <c r="B364" s="102" t="s">
        <v>1268</v>
      </c>
      <c r="C364" s="103" t="s">
        <v>147</v>
      </c>
      <c r="D364" s="192">
        <v>829000</v>
      </c>
    </row>
    <row r="365" spans="1:4" ht="20.100000000000001" hidden="1" customHeight="1">
      <c r="A365" s="132"/>
      <c r="B365" s="102" t="s">
        <v>1269</v>
      </c>
      <c r="C365" s="103" t="s">
        <v>151</v>
      </c>
      <c r="D365" s="192"/>
    </row>
    <row r="366" spans="1:4" ht="20.100000000000001" hidden="1" customHeight="1">
      <c r="A366" s="132"/>
      <c r="B366" s="102" t="s">
        <v>1270</v>
      </c>
      <c r="C366" s="103" t="s">
        <v>155</v>
      </c>
      <c r="D366" s="192">
        <v>1225000</v>
      </c>
    </row>
    <row r="367" spans="1:4" ht="20.100000000000001" hidden="1" customHeight="1">
      <c r="A367" s="132"/>
      <c r="B367" s="102" t="s">
        <v>1271</v>
      </c>
      <c r="C367" s="103" t="s">
        <v>193</v>
      </c>
      <c r="D367" s="192"/>
    </row>
    <row r="368" spans="1:4" ht="20.100000000000001" hidden="1" customHeight="1">
      <c r="A368" s="132"/>
      <c r="B368" s="102" t="s">
        <v>1272</v>
      </c>
      <c r="C368" s="103" t="s">
        <v>195</v>
      </c>
      <c r="D368" s="192">
        <v>6345000</v>
      </c>
    </row>
    <row r="369" spans="1:4" ht="20.100000000000001" hidden="1" customHeight="1">
      <c r="A369" s="132"/>
      <c r="B369" s="102" t="s">
        <v>1273</v>
      </c>
      <c r="C369" s="103" t="s">
        <v>157</v>
      </c>
      <c r="D369" s="192"/>
    </row>
    <row r="370" spans="1:4" ht="20.100000000000001" hidden="1" customHeight="1">
      <c r="A370" s="132"/>
      <c r="B370" s="102" t="s">
        <v>1274</v>
      </c>
      <c r="C370" s="103" t="s">
        <v>159</v>
      </c>
      <c r="D370" s="192">
        <v>3150000</v>
      </c>
    </row>
    <row r="371" spans="1:4" ht="20.100000000000001" hidden="1" customHeight="1">
      <c r="A371" s="132"/>
      <c r="B371" s="102" t="s">
        <v>1275</v>
      </c>
      <c r="C371" s="103" t="s">
        <v>207</v>
      </c>
      <c r="D371" s="192">
        <v>4700000</v>
      </c>
    </row>
    <row r="372" spans="1:4" ht="29.25" customHeight="1">
      <c r="A372" s="130">
        <v>25</v>
      </c>
      <c r="B372" s="187" t="s">
        <v>1276</v>
      </c>
      <c r="C372" s="188" t="s">
        <v>681</v>
      </c>
      <c r="D372" s="192">
        <v>38617000</v>
      </c>
    </row>
    <row r="373" spans="1:4" ht="20.100000000000001" hidden="1" customHeight="1">
      <c r="A373" s="132"/>
      <c r="B373" s="102" t="s">
        <v>1277</v>
      </c>
      <c r="C373" s="103" t="s">
        <v>10</v>
      </c>
      <c r="D373" s="192"/>
    </row>
    <row r="374" spans="1:4" ht="20.100000000000001" hidden="1" customHeight="1">
      <c r="A374" s="132"/>
      <c r="B374" s="102" t="s">
        <v>1278</v>
      </c>
      <c r="C374" s="103" t="s">
        <v>177</v>
      </c>
      <c r="D374" s="192"/>
    </row>
    <row r="375" spans="1:4" ht="20.100000000000001" hidden="1" customHeight="1">
      <c r="A375" s="132"/>
      <c r="B375" s="102" t="s">
        <v>1279</v>
      </c>
      <c r="C375" s="103" t="s">
        <v>283</v>
      </c>
      <c r="D375" s="192">
        <v>2640000</v>
      </c>
    </row>
    <row r="376" spans="1:4" ht="20.100000000000001" hidden="1" customHeight="1">
      <c r="A376" s="132"/>
      <c r="B376" s="102" t="s">
        <v>1280</v>
      </c>
      <c r="C376" s="103" t="s">
        <v>341</v>
      </c>
      <c r="D376" s="192"/>
    </row>
    <row r="377" spans="1:4" ht="20.100000000000001" hidden="1" customHeight="1">
      <c r="A377" s="132"/>
      <c r="B377" s="102" t="s">
        <v>1281</v>
      </c>
      <c r="C377" s="103" t="s">
        <v>283</v>
      </c>
      <c r="D377" s="192">
        <v>4800000</v>
      </c>
    </row>
    <row r="378" spans="1:4" ht="20.100000000000001" hidden="1" customHeight="1">
      <c r="A378" s="132"/>
      <c r="B378" s="102" t="s">
        <v>1282</v>
      </c>
      <c r="C378" s="103" t="s">
        <v>143</v>
      </c>
      <c r="D378" s="192"/>
    </row>
    <row r="379" spans="1:4" ht="20.100000000000001" hidden="1" customHeight="1">
      <c r="A379" s="132"/>
      <c r="B379" s="102" t="s">
        <v>1283</v>
      </c>
      <c r="C379" s="103" t="s">
        <v>145</v>
      </c>
      <c r="D379" s="192"/>
    </row>
    <row r="380" spans="1:4" ht="20.100000000000001" hidden="1" customHeight="1">
      <c r="A380" s="132"/>
      <c r="B380" s="102" t="s">
        <v>1284</v>
      </c>
      <c r="C380" s="103" t="s">
        <v>147</v>
      </c>
      <c r="D380" s="192">
        <v>2222000</v>
      </c>
    </row>
    <row r="381" spans="1:4" ht="20.100000000000001" hidden="1" customHeight="1">
      <c r="A381" s="132"/>
      <c r="B381" s="102" t="s">
        <v>1285</v>
      </c>
      <c r="C381" s="103" t="s">
        <v>163</v>
      </c>
      <c r="D381" s="192"/>
    </row>
    <row r="382" spans="1:4" ht="20.100000000000001" hidden="1" customHeight="1">
      <c r="A382" s="132"/>
      <c r="B382" s="102" t="s">
        <v>1286</v>
      </c>
      <c r="C382" s="103" t="s">
        <v>352</v>
      </c>
      <c r="D382" s="192">
        <v>10000000</v>
      </c>
    </row>
    <row r="383" spans="1:4" ht="20.100000000000001" hidden="1" customHeight="1">
      <c r="A383" s="132"/>
      <c r="B383" s="102" t="s">
        <v>1287</v>
      </c>
      <c r="C383" s="103" t="s">
        <v>151</v>
      </c>
      <c r="D383" s="192"/>
    </row>
    <row r="384" spans="1:4" ht="20.100000000000001" hidden="1" customHeight="1">
      <c r="A384" s="132"/>
      <c r="B384" s="102" t="s">
        <v>1288</v>
      </c>
      <c r="C384" s="103" t="s">
        <v>155</v>
      </c>
      <c r="D384" s="192">
        <v>875000</v>
      </c>
    </row>
    <row r="385" spans="1:4" ht="20.100000000000001" hidden="1" customHeight="1">
      <c r="A385" s="132"/>
      <c r="B385" s="102" t="s">
        <v>1289</v>
      </c>
      <c r="C385" s="103" t="s">
        <v>193</v>
      </c>
      <c r="D385" s="192"/>
    </row>
    <row r="386" spans="1:4" ht="20.100000000000001" hidden="1" customHeight="1">
      <c r="A386" s="132"/>
      <c r="B386" s="102" t="s">
        <v>1290</v>
      </c>
      <c r="C386" s="103" t="s">
        <v>195</v>
      </c>
      <c r="D386" s="192">
        <v>12750000</v>
      </c>
    </row>
    <row r="387" spans="1:4" ht="20.100000000000001" hidden="1" customHeight="1">
      <c r="A387" s="132"/>
      <c r="B387" s="102" t="s">
        <v>1291</v>
      </c>
      <c r="C387" s="103" t="s">
        <v>157</v>
      </c>
      <c r="D387" s="192"/>
    </row>
    <row r="388" spans="1:4" ht="20.100000000000001" hidden="1" customHeight="1">
      <c r="A388" s="132"/>
      <c r="B388" s="102" t="s">
        <v>1292</v>
      </c>
      <c r="C388" s="103" t="s">
        <v>159</v>
      </c>
      <c r="D388" s="192">
        <v>5330000</v>
      </c>
    </row>
    <row r="389" spans="1:4" ht="20.100000000000001" customHeight="1">
      <c r="A389" s="130">
        <v>26</v>
      </c>
      <c r="B389" s="187" t="s">
        <v>1293</v>
      </c>
      <c r="C389" s="188" t="s">
        <v>1294</v>
      </c>
      <c r="D389" s="192">
        <v>30013000</v>
      </c>
    </row>
    <row r="390" spans="1:4" ht="20.100000000000001" hidden="1" customHeight="1">
      <c r="A390" s="132"/>
      <c r="B390" s="102" t="s">
        <v>1295</v>
      </c>
      <c r="C390" s="103" t="s">
        <v>10</v>
      </c>
      <c r="D390" s="192"/>
    </row>
    <row r="391" spans="1:4" ht="20.100000000000001" hidden="1" customHeight="1">
      <c r="A391" s="132"/>
      <c r="B391" s="102" t="s">
        <v>1296</v>
      </c>
      <c r="C391" s="103" t="s">
        <v>177</v>
      </c>
      <c r="D391" s="192"/>
    </row>
    <row r="392" spans="1:4" ht="20.100000000000001" hidden="1" customHeight="1">
      <c r="A392" s="132"/>
      <c r="B392" s="102" t="s">
        <v>1297</v>
      </c>
      <c r="C392" s="103" t="s">
        <v>283</v>
      </c>
      <c r="D392" s="192">
        <v>2600000</v>
      </c>
    </row>
    <row r="393" spans="1:4" ht="20.100000000000001" hidden="1" customHeight="1">
      <c r="A393" s="132"/>
      <c r="B393" s="102" t="s">
        <v>1298</v>
      </c>
      <c r="C393" s="103" t="s">
        <v>143</v>
      </c>
      <c r="D393" s="192"/>
    </row>
    <row r="394" spans="1:4" ht="20.100000000000001" hidden="1" customHeight="1">
      <c r="A394" s="132"/>
      <c r="B394" s="102" t="s">
        <v>1299</v>
      </c>
      <c r="C394" s="103" t="s">
        <v>145</v>
      </c>
      <c r="D394" s="192"/>
    </row>
    <row r="395" spans="1:4" ht="20.100000000000001" hidden="1" customHeight="1">
      <c r="A395" s="132"/>
      <c r="B395" s="102" t="s">
        <v>1300</v>
      </c>
      <c r="C395" s="103" t="s">
        <v>147</v>
      </c>
      <c r="D395" s="192">
        <v>1909000</v>
      </c>
    </row>
    <row r="396" spans="1:4" ht="20.100000000000001" hidden="1" customHeight="1">
      <c r="A396" s="132"/>
      <c r="B396" s="102" t="s">
        <v>1301</v>
      </c>
      <c r="C396" s="103" t="s">
        <v>163</v>
      </c>
      <c r="D396" s="192"/>
    </row>
    <row r="397" spans="1:4" ht="20.100000000000001" hidden="1" customHeight="1">
      <c r="A397" s="132"/>
      <c r="B397" s="102" t="s">
        <v>1302</v>
      </c>
      <c r="C397" s="103" t="s">
        <v>352</v>
      </c>
      <c r="D397" s="192">
        <v>5000000</v>
      </c>
    </row>
    <row r="398" spans="1:4" ht="20.100000000000001" hidden="1" customHeight="1">
      <c r="A398" s="132"/>
      <c r="B398" s="102" t="s">
        <v>1303</v>
      </c>
      <c r="C398" s="103" t="s">
        <v>151</v>
      </c>
      <c r="D398" s="192"/>
    </row>
    <row r="399" spans="1:4" ht="20.100000000000001" hidden="1" customHeight="1">
      <c r="A399" s="132"/>
      <c r="B399" s="102" t="s">
        <v>1304</v>
      </c>
      <c r="C399" s="103" t="s">
        <v>155</v>
      </c>
      <c r="D399" s="192">
        <v>1400000</v>
      </c>
    </row>
    <row r="400" spans="1:4" ht="20.100000000000001" hidden="1" customHeight="1">
      <c r="A400" s="132"/>
      <c r="B400" s="102" t="s">
        <v>1305</v>
      </c>
      <c r="C400" s="103" t="s">
        <v>193</v>
      </c>
      <c r="D400" s="192"/>
    </row>
    <row r="401" spans="1:4" ht="20.100000000000001" hidden="1" customHeight="1">
      <c r="A401" s="132"/>
      <c r="B401" s="102" t="s">
        <v>1306</v>
      </c>
      <c r="C401" s="103" t="s">
        <v>195</v>
      </c>
      <c r="D401" s="192">
        <v>6804000</v>
      </c>
    </row>
    <row r="402" spans="1:4" ht="20.100000000000001" hidden="1" customHeight="1">
      <c r="A402" s="132"/>
      <c r="B402" s="102" t="s">
        <v>1307</v>
      </c>
      <c r="C402" s="103" t="s">
        <v>157</v>
      </c>
      <c r="D402" s="192"/>
    </row>
    <row r="403" spans="1:4" ht="20.100000000000001" hidden="1" customHeight="1">
      <c r="A403" s="132"/>
      <c r="B403" s="102" t="s">
        <v>1308</v>
      </c>
      <c r="C403" s="103" t="s">
        <v>159</v>
      </c>
      <c r="D403" s="192">
        <v>7100000</v>
      </c>
    </row>
    <row r="404" spans="1:4" ht="20.100000000000001" hidden="1" customHeight="1">
      <c r="A404" s="132"/>
      <c r="B404" s="102" t="s">
        <v>1309</v>
      </c>
      <c r="C404" s="103" t="s">
        <v>207</v>
      </c>
      <c r="D404" s="192">
        <v>5200000</v>
      </c>
    </row>
    <row r="405" spans="1:4" ht="20.100000000000001" customHeight="1">
      <c r="A405" s="130">
        <v>27</v>
      </c>
      <c r="B405" s="187" t="s">
        <v>1310</v>
      </c>
      <c r="C405" s="188" t="s">
        <v>699</v>
      </c>
      <c r="D405" s="192">
        <v>73357000</v>
      </c>
    </row>
    <row r="406" spans="1:4" ht="20.100000000000001" hidden="1" customHeight="1">
      <c r="A406" s="132"/>
      <c r="B406" s="102" t="s">
        <v>1311</v>
      </c>
      <c r="C406" s="103" t="s">
        <v>10</v>
      </c>
      <c r="D406" s="192"/>
    </row>
    <row r="407" spans="1:4" ht="20.100000000000001" hidden="1" customHeight="1">
      <c r="A407" s="132"/>
      <c r="B407" s="102" t="s">
        <v>1312</v>
      </c>
      <c r="C407" s="103" t="s">
        <v>177</v>
      </c>
      <c r="D407" s="192"/>
    </row>
    <row r="408" spans="1:4" ht="20.100000000000001" hidden="1" customHeight="1">
      <c r="A408" s="132"/>
      <c r="B408" s="102" t="s">
        <v>1313</v>
      </c>
      <c r="C408" s="103" t="s">
        <v>283</v>
      </c>
      <c r="D408" s="192">
        <v>3480000</v>
      </c>
    </row>
    <row r="409" spans="1:4" ht="20.100000000000001" hidden="1" customHeight="1">
      <c r="A409" s="132"/>
      <c r="B409" s="102" t="s">
        <v>1314</v>
      </c>
      <c r="C409" s="103" t="s">
        <v>143</v>
      </c>
      <c r="D409" s="192"/>
    </row>
    <row r="410" spans="1:4" ht="20.100000000000001" hidden="1" customHeight="1">
      <c r="A410" s="132"/>
      <c r="B410" s="102" t="s">
        <v>1315</v>
      </c>
      <c r="C410" s="103" t="s">
        <v>145</v>
      </c>
      <c r="D410" s="192"/>
    </row>
    <row r="411" spans="1:4" ht="20.100000000000001" hidden="1" customHeight="1">
      <c r="A411" s="132"/>
      <c r="B411" s="102" t="s">
        <v>1316</v>
      </c>
      <c r="C411" s="103" t="s">
        <v>147</v>
      </c>
      <c r="D411" s="192">
        <v>903000</v>
      </c>
    </row>
    <row r="412" spans="1:4" ht="20.100000000000001" hidden="1" customHeight="1">
      <c r="A412" s="132"/>
      <c r="B412" s="102" t="s">
        <v>1317</v>
      </c>
      <c r="C412" s="103" t="s">
        <v>1318</v>
      </c>
      <c r="D412" s="192">
        <v>5000000</v>
      </c>
    </row>
    <row r="413" spans="1:4" ht="20.100000000000001" hidden="1" customHeight="1">
      <c r="A413" s="132"/>
      <c r="B413" s="102" t="s">
        <v>1319</v>
      </c>
      <c r="C413" s="103" t="s">
        <v>163</v>
      </c>
      <c r="D413" s="192"/>
    </row>
    <row r="414" spans="1:4" ht="20.100000000000001" hidden="1" customHeight="1">
      <c r="A414" s="132"/>
      <c r="B414" s="102" t="s">
        <v>1320</v>
      </c>
      <c r="C414" s="103" t="s">
        <v>349</v>
      </c>
      <c r="D414" s="192">
        <v>440000</v>
      </c>
    </row>
    <row r="415" spans="1:4" ht="20.100000000000001" hidden="1" customHeight="1">
      <c r="A415" s="132"/>
      <c r="B415" s="102" t="s">
        <v>1321</v>
      </c>
      <c r="C415" s="103" t="s">
        <v>151</v>
      </c>
      <c r="D415" s="192"/>
    </row>
    <row r="416" spans="1:4" ht="20.100000000000001" hidden="1" customHeight="1">
      <c r="A416" s="132"/>
      <c r="B416" s="102" t="s">
        <v>1322</v>
      </c>
      <c r="C416" s="103" t="s">
        <v>155</v>
      </c>
      <c r="D416" s="192">
        <v>984000</v>
      </c>
    </row>
    <row r="417" spans="1:4" ht="20.100000000000001" hidden="1" customHeight="1">
      <c r="A417" s="132"/>
      <c r="B417" s="102" t="s">
        <v>1323</v>
      </c>
      <c r="C417" s="103" t="s">
        <v>193</v>
      </c>
      <c r="D417" s="192"/>
    </row>
    <row r="418" spans="1:4" ht="20.100000000000001" hidden="1" customHeight="1">
      <c r="A418" s="132"/>
      <c r="B418" s="102" t="s">
        <v>1324</v>
      </c>
      <c r="C418" s="103" t="s">
        <v>195</v>
      </c>
      <c r="D418" s="192">
        <v>53550000</v>
      </c>
    </row>
    <row r="419" spans="1:4" ht="20.100000000000001" hidden="1" customHeight="1">
      <c r="A419" s="132"/>
      <c r="B419" s="102" t="s">
        <v>1325</v>
      </c>
      <c r="C419" s="103" t="s">
        <v>157</v>
      </c>
      <c r="D419" s="192"/>
    </row>
    <row r="420" spans="1:4" ht="20.100000000000001" hidden="1" customHeight="1">
      <c r="A420" s="132"/>
      <c r="B420" s="102" t="s">
        <v>1326</v>
      </c>
      <c r="C420" s="103" t="s">
        <v>159</v>
      </c>
      <c r="D420" s="192">
        <v>3550000</v>
      </c>
    </row>
    <row r="421" spans="1:4" ht="20.100000000000001" hidden="1" customHeight="1">
      <c r="A421" s="132"/>
      <c r="B421" s="102" t="s">
        <v>1327</v>
      </c>
      <c r="C421" s="103" t="s">
        <v>207</v>
      </c>
      <c r="D421" s="192">
        <v>5450000</v>
      </c>
    </row>
    <row r="422" spans="1:4" ht="20.100000000000001" customHeight="1">
      <c r="A422" s="130">
        <v>28</v>
      </c>
      <c r="B422" s="187" t="s">
        <v>1328</v>
      </c>
      <c r="C422" s="188" t="s">
        <v>32</v>
      </c>
      <c r="D422" s="192">
        <v>37279000</v>
      </c>
    </row>
    <row r="423" spans="1:4" ht="20.100000000000001" hidden="1" customHeight="1">
      <c r="A423" s="132"/>
      <c r="B423" s="102" t="s">
        <v>1329</v>
      </c>
      <c r="C423" s="103" t="s">
        <v>10</v>
      </c>
      <c r="D423" s="192"/>
    </row>
    <row r="424" spans="1:4" ht="20.100000000000001" hidden="1" customHeight="1">
      <c r="A424" s="132"/>
      <c r="B424" s="102" t="s">
        <v>1330</v>
      </c>
      <c r="C424" s="103" t="s">
        <v>177</v>
      </c>
      <c r="D424" s="192"/>
    </row>
    <row r="425" spans="1:4" ht="20.100000000000001" hidden="1" customHeight="1">
      <c r="A425" s="132"/>
      <c r="B425" s="102" t="s">
        <v>1331</v>
      </c>
      <c r="C425" s="103" t="s">
        <v>283</v>
      </c>
      <c r="D425" s="192">
        <v>2680000</v>
      </c>
    </row>
    <row r="426" spans="1:4" ht="20.100000000000001" hidden="1" customHeight="1">
      <c r="A426" s="132"/>
      <c r="B426" s="102" t="s">
        <v>1332</v>
      </c>
      <c r="C426" s="103" t="s">
        <v>341</v>
      </c>
      <c r="D426" s="192"/>
    </row>
    <row r="427" spans="1:4" ht="20.100000000000001" hidden="1" customHeight="1">
      <c r="A427" s="132"/>
      <c r="B427" s="102" t="s">
        <v>1333</v>
      </c>
      <c r="C427" s="103" t="s">
        <v>283</v>
      </c>
      <c r="D427" s="192">
        <v>8400000</v>
      </c>
    </row>
    <row r="428" spans="1:4" ht="20.100000000000001" hidden="1" customHeight="1">
      <c r="A428" s="132"/>
      <c r="B428" s="102" t="s">
        <v>1334</v>
      </c>
      <c r="C428" s="103" t="s">
        <v>143</v>
      </c>
      <c r="D428" s="192"/>
    </row>
    <row r="429" spans="1:4" ht="20.100000000000001" hidden="1" customHeight="1">
      <c r="A429" s="132"/>
      <c r="B429" s="102" t="s">
        <v>1335</v>
      </c>
      <c r="C429" s="103" t="s">
        <v>145</v>
      </c>
      <c r="D429" s="192"/>
    </row>
    <row r="430" spans="1:4" ht="20.100000000000001" hidden="1" customHeight="1">
      <c r="A430" s="132"/>
      <c r="B430" s="102" t="s">
        <v>1336</v>
      </c>
      <c r="C430" s="103" t="s">
        <v>147</v>
      </c>
      <c r="D430" s="192">
        <v>1560000</v>
      </c>
    </row>
    <row r="431" spans="1:4" ht="20.100000000000001" hidden="1" customHeight="1">
      <c r="A431" s="132"/>
      <c r="B431" s="102" t="s">
        <v>1337</v>
      </c>
      <c r="C431" s="103" t="s">
        <v>163</v>
      </c>
      <c r="D431" s="192"/>
    </row>
    <row r="432" spans="1:4" ht="20.100000000000001" hidden="1" customHeight="1">
      <c r="A432" s="132"/>
      <c r="B432" s="102" t="s">
        <v>1338</v>
      </c>
      <c r="C432" s="103" t="s">
        <v>352</v>
      </c>
      <c r="D432" s="192">
        <v>8000000</v>
      </c>
    </row>
    <row r="433" spans="1:4" ht="20.100000000000001" hidden="1" customHeight="1">
      <c r="A433" s="132"/>
      <c r="B433" s="102" t="s">
        <v>1339</v>
      </c>
      <c r="C433" s="103" t="s">
        <v>151</v>
      </c>
      <c r="D433" s="192"/>
    </row>
    <row r="434" spans="1:4" ht="20.100000000000001" hidden="1" customHeight="1">
      <c r="A434" s="132"/>
      <c r="B434" s="102" t="s">
        <v>1340</v>
      </c>
      <c r="C434" s="103" t="s">
        <v>155</v>
      </c>
      <c r="D434" s="192">
        <v>1400000</v>
      </c>
    </row>
    <row r="435" spans="1:4" ht="20.100000000000001" hidden="1" customHeight="1">
      <c r="A435" s="132"/>
      <c r="B435" s="102" t="s">
        <v>1341</v>
      </c>
      <c r="C435" s="103" t="s">
        <v>193</v>
      </c>
      <c r="D435" s="192"/>
    </row>
    <row r="436" spans="1:4" ht="20.100000000000001" hidden="1" customHeight="1">
      <c r="A436" s="132"/>
      <c r="B436" s="102" t="s">
        <v>1342</v>
      </c>
      <c r="C436" s="103" t="s">
        <v>195</v>
      </c>
      <c r="D436" s="192">
        <v>9639000</v>
      </c>
    </row>
    <row r="437" spans="1:4" ht="20.100000000000001" hidden="1" customHeight="1">
      <c r="A437" s="132"/>
      <c r="B437" s="102" t="s">
        <v>1343</v>
      </c>
      <c r="C437" s="103" t="s">
        <v>157</v>
      </c>
      <c r="D437" s="192"/>
    </row>
    <row r="438" spans="1:4" ht="20.100000000000001" hidden="1" customHeight="1">
      <c r="A438" s="132"/>
      <c r="B438" s="102" t="s">
        <v>1344</v>
      </c>
      <c r="C438" s="103" t="s">
        <v>159</v>
      </c>
      <c r="D438" s="192">
        <v>3350000</v>
      </c>
    </row>
    <row r="439" spans="1:4" ht="20.100000000000001" hidden="1" customHeight="1">
      <c r="A439" s="132"/>
      <c r="B439" s="102" t="s">
        <v>1345</v>
      </c>
      <c r="C439" s="103" t="s">
        <v>207</v>
      </c>
      <c r="D439" s="192">
        <v>2250000</v>
      </c>
    </row>
    <row r="440" spans="1:4" ht="20.100000000000001" customHeight="1">
      <c r="A440" s="129" t="s">
        <v>481</v>
      </c>
      <c r="B440" s="106" t="s">
        <v>1346</v>
      </c>
      <c r="C440" s="107" t="s">
        <v>460</v>
      </c>
      <c r="D440" s="192">
        <v>71322000</v>
      </c>
    </row>
    <row r="441" spans="1:4" ht="20.100000000000001" customHeight="1">
      <c r="A441" s="130">
        <v>29</v>
      </c>
      <c r="B441" s="187" t="s">
        <v>1347</v>
      </c>
      <c r="C441" s="188" t="s">
        <v>462</v>
      </c>
      <c r="D441" s="192">
        <v>71322000</v>
      </c>
    </row>
    <row r="442" spans="1:4" ht="20.100000000000001" hidden="1" customHeight="1">
      <c r="A442" s="132"/>
      <c r="B442" s="102" t="s">
        <v>1348</v>
      </c>
      <c r="C442" s="103" t="s">
        <v>10</v>
      </c>
      <c r="D442" s="192"/>
    </row>
    <row r="443" spans="1:4" ht="20.100000000000001" hidden="1" customHeight="1">
      <c r="A443" s="132"/>
      <c r="B443" s="102" t="s">
        <v>1349</v>
      </c>
      <c r="C443" s="103" t="s">
        <v>177</v>
      </c>
      <c r="D443" s="192"/>
    </row>
    <row r="444" spans="1:4" ht="20.100000000000001" hidden="1" customHeight="1">
      <c r="A444" s="132"/>
      <c r="B444" s="102" t="s">
        <v>1350</v>
      </c>
      <c r="C444" s="103" t="s">
        <v>283</v>
      </c>
      <c r="D444" s="192">
        <v>1720000</v>
      </c>
    </row>
    <row r="445" spans="1:4" ht="20.100000000000001" hidden="1" customHeight="1">
      <c r="A445" s="132"/>
      <c r="B445" s="102" t="s">
        <v>1351</v>
      </c>
      <c r="C445" s="103" t="s">
        <v>143</v>
      </c>
      <c r="D445" s="192"/>
    </row>
    <row r="446" spans="1:4" ht="20.100000000000001" hidden="1" customHeight="1">
      <c r="A446" s="132"/>
      <c r="B446" s="102" t="s">
        <v>1352</v>
      </c>
      <c r="C446" s="103" t="s">
        <v>145</v>
      </c>
      <c r="D446" s="192"/>
    </row>
    <row r="447" spans="1:4" ht="20.100000000000001" hidden="1" customHeight="1">
      <c r="A447" s="132"/>
      <c r="B447" s="102" t="s">
        <v>1353</v>
      </c>
      <c r="C447" s="103" t="s">
        <v>147</v>
      </c>
      <c r="D447" s="192">
        <v>1804000</v>
      </c>
    </row>
    <row r="448" spans="1:4" ht="20.100000000000001" hidden="1" customHeight="1">
      <c r="A448" s="132"/>
      <c r="B448" s="102" t="s">
        <v>1354</v>
      </c>
      <c r="C448" s="103" t="s">
        <v>163</v>
      </c>
      <c r="D448" s="192"/>
    </row>
    <row r="449" spans="1:4" ht="20.100000000000001" hidden="1" customHeight="1">
      <c r="A449" s="132"/>
      <c r="B449" s="102" t="s">
        <v>1355</v>
      </c>
      <c r="C449" s="103" t="s">
        <v>447</v>
      </c>
      <c r="D449" s="192">
        <v>42000000</v>
      </c>
    </row>
    <row r="450" spans="1:4" ht="20.100000000000001" hidden="1" customHeight="1">
      <c r="A450" s="132"/>
      <c r="B450" s="102" t="s">
        <v>1356</v>
      </c>
      <c r="C450" s="103" t="s">
        <v>352</v>
      </c>
      <c r="D450" s="192">
        <v>3250000</v>
      </c>
    </row>
    <row r="451" spans="1:4" ht="20.100000000000001" hidden="1" customHeight="1">
      <c r="A451" s="132"/>
      <c r="B451" s="102" t="s">
        <v>1357</v>
      </c>
      <c r="C451" s="103" t="s">
        <v>1358</v>
      </c>
      <c r="D451" s="192">
        <v>2500000</v>
      </c>
    </row>
    <row r="452" spans="1:4" ht="20.100000000000001" hidden="1" customHeight="1">
      <c r="A452" s="132"/>
      <c r="B452" s="102" t="s">
        <v>1359</v>
      </c>
      <c r="C452" s="103" t="s">
        <v>151</v>
      </c>
      <c r="D452" s="192"/>
    </row>
    <row r="453" spans="1:4" ht="20.100000000000001" hidden="1" customHeight="1">
      <c r="A453" s="132"/>
      <c r="B453" s="102" t="s">
        <v>1360</v>
      </c>
      <c r="C453" s="103" t="s">
        <v>155</v>
      </c>
      <c r="D453" s="192">
        <v>575000</v>
      </c>
    </row>
    <row r="454" spans="1:4" ht="20.100000000000001" hidden="1" customHeight="1">
      <c r="A454" s="132"/>
      <c r="B454" s="102" t="s">
        <v>1361</v>
      </c>
      <c r="C454" s="103" t="s">
        <v>193</v>
      </c>
      <c r="D454" s="192"/>
    </row>
    <row r="455" spans="1:4" ht="20.100000000000001" hidden="1" customHeight="1">
      <c r="A455" s="132"/>
      <c r="B455" s="102" t="s">
        <v>1362</v>
      </c>
      <c r="C455" s="103" t="s">
        <v>195</v>
      </c>
      <c r="D455" s="192">
        <v>4083000</v>
      </c>
    </row>
    <row r="456" spans="1:4" ht="20.100000000000001" hidden="1" customHeight="1">
      <c r="A456" s="132"/>
      <c r="B456" s="102" t="s">
        <v>1363</v>
      </c>
      <c r="C456" s="103" t="s">
        <v>157</v>
      </c>
      <c r="D456" s="192"/>
    </row>
    <row r="457" spans="1:4" ht="20.100000000000001" hidden="1" customHeight="1">
      <c r="A457" s="132"/>
      <c r="B457" s="102" t="s">
        <v>1364</v>
      </c>
      <c r="C457" s="103" t="s">
        <v>159</v>
      </c>
      <c r="D457" s="192">
        <v>3690000</v>
      </c>
    </row>
    <row r="458" spans="1:4" ht="20.100000000000001" hidden="1" customHeight="1">
      <c r="A458" s="132"/>
      <c r="B458" s="102" t="s">
        <v>1365</v>
      </c>
      <c r="C458" s="103" t="s">
        <v>207</v>
      </c>
      <c r="D458" s="192">
        <v>5300000</v>
      </c>
    </row>
    <row r="459" spans="1:4" ht="20.100000000000001" hidden="1" customHeight="1">
      <c r="A459" s="132"/>
      <c r="B459" s="102" t="s">
        <v>1366</v>
      </c>
      <c r="C459" s="103" t="s">
        <v>402</v>
      </c>
      <c r="D459" s="192"/>
    </row>
    <row r="460" spans="1:4" ht="20.100000000000001" hidden="1" customHeight="1">
      <c r="A460" s="132"/>
      <c r="B460" s="102" t="s">
        <v>1367</v>
      </c>
      <c r="C460" s="103" t="s">
        <v>404</v>
      </c>
      <c r="D460" s="192">
        <v>6400000</v>
      </c>
    </row>
    <row r="461" spans="1:4" ht="20.100000000000001" customHeight="1">
      <c r="A461" s="129" t="s">
        <v>598</v>
      </c>
      <c r="B461" s="106" t="s">
        <v>1368</v>
      </c>
      <c r="C461" s="107" t="s">
        <v>33</v>
      </c>
      <c r="D461" s="192">
        <v>106134000</v>
      </c>
    </row>
    <row r="462" spans="1:4" ht="36.75" customHeight="1">
      <c r="A462" s="130">
        <v>30</v>
      </c>
      <c r="B462" s="187" t="s">
        <v>1369</v>
      </c>
      <c r="C462" s="188" t="s">
        <v>601</v>
      </c>
      <c r="D462" s="192">
        <v>106134000</v>
      </c>
    </row>
    <row r="463" spans="1:4" ht="20.100000000000001" hidden="1" customHeight="1">
      <c r="A463" s="132"/>
      <c r="B463" s="102" t="s">
        <v>1370</v>
      </c>
      <c r="C463" s="103" t="s">
        <v>10</v>
      </c>
      <c r="D463" s="192"/>
    </row>
    <row r="464" spans="1:4" ht="20.100000000000001" hidden="1" customHeight="1">
      <c r="A464" s="132"/>
      <c r="B464" s="102" t="s">
        <v>1371</v>
      </c>
      <c r="C464" s="103" t="s">
        <v>177</v>
      </c>
      <c r="D464" s="192"/>
    </row>
    <row r="465" spans="1:4" ht="20.100000000000001" hidden="1" customHeight="1">
      <c r="A465" s="132"/>
      <c r="B465" s="102" t="s">
        <v>1372</v>
      </c>
      <c r="C465" s="103" t="s">
        <v>283</v>
      </c>
      <c r="D465" s="192">
        <v>7650000</v>
      </c>
    </row>
    <row r="466" spans="1:4" ht="20.100000000000001" hidden="1" customHeight="1">
      <c r="A466" s="132"/>
      <c r="B466" s="102" t="s">
        <v>1373</v>
      </c>
      <c r="C466" s="103" t="s">
        <v>143</v>
      </c>
      <c r="D466" s="192"/>
    </row>
    <row r="467" spans="1:4" ht="20.100000000000001" hidden="1" customHeight="1">
      <c r="A467" s="132"/>
      <c r="B467" s="102" t="s">
        <v>1374</v>
      </c>
      <c r="C467" s="103" t="s">
        <v>145</v>
      </c>
      <c r="D467" s="192"/>
    </row>
    <row r="468" spans="1:4" ht="20.100000000000001" hidden="1" customHeight="1">
      <c r="A468" s="132"/>
      <c r="B468" s="102" t="s">
        <v>1375</v>
      </c>
      <c r="C468" s="103" t="s">
        <v>147</v>
      </c>
      <c r="D468" s="192">
        <v>3861000</v>
      </c>
    </row>
    <row r="469" spans="1:4" ht="20.100000000000001" hidden="1" customHeight="1">
      <c r="A469" s="132"/>
      <c r="B469" s="102" t="s">
        <v>1376</v>
      </c>
      <c r="C469" s="103" t="s">
        <v>389</v>
      </c>
      <c r="D469" s="192"/>
    </row>
    <row r="470" spans="1:4" ht="20.100000000000001" hidden="1" customHeight="1">
      <c r="A470" s="132"/>
      <c r="B470" s="102" t="s">
        <v>1377</v>
      </c>
      <c r="C470" s="103" t="s">
        <v>391</v>
      </c>
      <c r="D470" s="192">
        <v>2000000</v>
      </c>
    </row>
    <row r="471" spans="1:4" ht="20.100000000000001" hidden="1" customHeight="1">
      <c r="A471" s="132"/>
      <c r="B471" s="102" t="s">
        <v>1378</v>
      </c>
      <c r="C471" s="103" t="s">
        <v>163</v>
      </c>
      <c r="D471" s="192"/>
    </row>
    <row r="472" spans="1:4" ht="20.100000000000001" hidden="1" customHeight="1">
      <c r="A472" s="132"/>
      <c r="B472" s="102" t="s">
        <v>1379</v>
      </c>
      <c r="C472" s="103" t="s">
        <v>447</v>
      </c>
      <c r="D472" s="192">
        <v>48000000</v>
      </c>
    </row>
    <row r="473" spans="1:4" ht="20.100000000000001" hidden="1" customHeight="1">
      <c r="A473" s="132"/>
      <c r="B473" s="102" t="s">
        <v>1380</v>
      </c>
      <c r="C473" s="103" t="s">
        <v>349</v>
      </c>
      <c r="D473" s="192">
        <v>360000</v>
      </c>
    </row>
    <row r="474" spans="1:4" ht="20.100000000000001" hidden="1" customHeight="1">
      <c r="A474" s="132"/>
      <c r="B474" s="102" t="s">
        <v>1381</v>
      </c>
      <c r="C474" s="103" t="s">
        <v>352</v>
      </c>
      <c r="D474" s="192">
        <v>7500000</v>
      </c>
    </row>
    <row r="475" spans="1:4" ht="20.100000000000001" hidden="1" customHeight="1">
      <c r="A475" s="132"/>
      <c r="B475" s="102" t="s">
        <v>1382</v>
      </c>
      <c r="C475" s="103" t="s">
        <v>151</v>
      </c>
      <c r="D475" s="192"/>
    </row>
    <row r="476" spans="1:4" ht="20.100000000000001" hidden="1" customHeight="1">
      <c r="A476" s="132"/>
      <c r="B476" s="102" t="s">
        <v>1383</v>
      </c>
      <c r="C476" s="103" t="s">
        <v>155</v>
      </c>
      <c r="D476" s="192">
        <v>943000</v>
      </c>
    </row>
    <row r="477" spans="1:4" ht="20.100000000000001" hidden="1" customHeight="1">
      <c r="A477" s="132"/>
      <c r="B477" s="102" t="s">
        <v>1384</v>
      </c>
      <c r="C477" s="103" t="s">
        <v>193</v>
      </c>
      <c r="D477" s="192"/>
    </row>
    <row r="478" spans="1:4" ht="20.100000000000001" hidden="1" customHeight="1">
      <c r="A478" s="132"/>
      <c r="B478" s="102" t="s">
        <v>1385</v>
      </c>
      <c r="C478" s="103" t="s">
        <v>195</v>
      </c>
      <c r="D478" s="192">
        <v>8700000</v>
      </c>
    </row>
    <row r="479" spans="1:4" ht="20.100000000000001" hidden="1" customHeight="1">
      <c r="A479" s="132"/>
      <c r="B479" s="102" t="s">
        <v>1386</v>
      </c>
      <c r="C479" s="103" t="s">
        <v>157</v>
      </c>
      <c r="D479" s="192"/>
    </row>
    <row r="480" spans="1:4" ht="20.100000000000001" hidden="1" customHeight="1">
      <c r="A480" s="132"/>
      <c r="B480" s="102" t="s">
        <v>1387</v>
      </c>
      <c r="C480" s="103" t="s">
        <v>159</v>
      </c>
      <c r="D480" s="192">
        <v>8720000</v>
      </c>
    </row>
    <row r="481" spans="1:4" ht="20.100000000000001" hidden="1" customHeight="1">
      <c r="A481" s="132"/>
      <c r="B481" s="102" t="s">
        <v>1388</v>
      </c>
      <c r="C481" s="103" t="s">
        <v>207</v>
      </c>
      <c r="D481" s="192">
        <v>4200000</v>
      </c>
    </row>
    <row r="482" spans="1:4" ht="20.100000000000001" hidden="1" customHeight="1">
      <c r="A482" s="132"/>
      <c r="B482" s="102" t="s">
        <v>1389</v>
      </c>
      <c r="C482" s="103" t="s">
        <v>402</v>
      </c>
      <c r="D482" s="192"/>
    </row>
    <row r="483" spans="1:4" ht="20.100000000000001" hidden="1" customHeight="1">
      <c r="A483" s="132"/>
      <c r="B483" s="102" t="s">
        <v>1390</v>
      </c>
      <c r="C483" s="103" t="s">
        <v>404</v>
      </c>
      <c r="D483" s="192">
        <v>14200000</v>
      </c>
    </row>
    <row r="484" spans="1:4" ht="20.100000000000001" customHeight="1">
      <c r="A484" s="129" t="s">
        <v>632</v>
      </c>
      <c r="B484" s="106" t="s">
        <v>1391</v>
      </c>
      <c r="C484" s="107" t="s">
        <v>750</v>
      </c>
      <c r="D484" s="192">
        <v>918381000</v>
      </c>
    </row>
    <row r="485" spans="1:4" ht="20.100000000000001" customHeight="1">
      <c r="A485" s="130">
        <v>31</v>
      </c>
      <c r="B485" s="187" t="s">
        <v>1392</v>
      </c>
      <c r="C485" s="188" t="s">
        <v>34</v>
      </c>
      <c r="D485" s="192">
        <v>321675000</v>
      </c>
    </row>
    <row r="486" spans="1:4" ht="20.100000000000001" hidden="1" customHeight="1">
      <c r="A486" s="132"/>
      <c r="B486" s="102" t="s">
        <v>1393</v>
      </c>
      <c r="C486" s="103" t="s">
        <v>10</v>
      </c>
      <c r="D486" s="192"/>
    </row>
    <row r="487" spans="1:4" ht="20.100000000000001" hidden="1" customHeight="1">
      <c r="A487" s="132"/>
      <c r="B487" s="102" t="s">
        <v>1394</v>
      </c>
      <c r="C487" s="103" t="s">
        <v>177</v>
      </c>
      <c r="D487" s="192"/>
    </row>
    <row r="488" spans="1:4" ht="20.100000000000001" hidden="1" customHeight="1">
      <c r="A488" s="132"/>
      <c r="B488" s="102" t="s">
        <v>1395</v>
      </c>
      <c r="C488" s="103" t="s">
        <v>283</v>
      </c>
      <c r="D488" s="192">
        <v>19575000</v>
      </c>
    </row>
    <row r="489" spans="1:4" ht="20.100000000000001" hidden="1" customHeight="1">
      <c r="A489" s="132"/>
      <c r="B489" s="102" t="s">
        <v>1396</v>
      </c>
      <c r="C489" s="103" t="s">
        <v>384</v>
      </c>
      <c r="D489" s="192">
        <v>2235000</v>
      </c>
    </row>
    <row r="490" spans="1:4" ht="20.100000000000001" hidden="1" customHeight="1">
      <c r="A490" s="132"/>
      <c r="B490" s="102" t="s">
        <v>1397</v>
      </c>
      <c r="C490" s="103" t="s">
        <v>143</v>
      </c>
      <c r="D490" s="192"/>
    </row>
    <row r="491" spans="1:4" ht="20.100000000000001" hidden="1" customHeight="1">
      <c r="A491" s="132"/>
      <c r="B491" s="102" t="s">
        <v>1398</v>
      </c>
      <c r="C491" s="103" t="s">
        <v>145</v>
      </c>
      <c r="D491" s="192"/>
    </row>
    <row r="492" spans="1:4" ht="20.100000000000001" hidden="1" customHeight="1">
      <c r="A492" s="132"/>
      <c r="B492" s="102" t="s">
        <v>1399</v>
      </c>
      <c r="C492" s="103" t="s">
        <v>147</v>
      </c>
      <c r="D492" s="192">
        <v>1372000</v>
      </c>
    </row>
    <row r="493" spans="1:4" ht="20.100000000000001" hidden="1" customHeight="1">
      <c r="A493" s="132"/>
      <c r="B493" s="102" t="s">
        <v>1400</v>
      </c>
      <c r="C493" s="103" t="s">
        <v>389</v>
      </c>
      <c r="D493" s="192"/>
    </row>
    <row r="494" spans="1:4" ht="20.100000000000001" hidden="1" customHeight="1">
      <c r="A494" s="132"/>
      <c r="B494" s="102" t="s">
        <v>1401</v>
      </c>
      <c r="C494" s="103" t="s">
        <v>391</v>
      </c>
      <c r="D494" s="192">
        <v>2100000</v>
      </c>
    </row>
    <row r="495" spans="1:4" ht="20.100000000000001" hidden="1" customHeight="1">
      <c r="A495" s="132"/>
      <c r="B495" s="102" t="s">
        <v>1402</v>
      </c>
      <c r="C495" s="103" t="s">
        <v>163</v>
      </c>
      <c r="D495" s="192"/>
    </row>
    <row r="496" spans="1:4" ht="20.100000000000001" hidden="1" customHeight="1">
      <c r="A496" s="132"/>
      <c r="B496" s="102" t="s">
        <v>1403</v>
      </c>
      <c r="C496" s="103" t="s">
        <v>349</v>
      </c>
      <c r="D496" s="192">
        <v>7900000</v>
      </c>
    </row>
    <row r="497" spans="1:4" ht="20.100000000000001" hidden="1" customHeight="1">
      <c r="A497" s="132"/>
      <c r="B497" s="102" t="s">
        <v>1404</v>
      </c>
      <c r="C497" s="103" t="s">
        <v>352</v>
      </c>
      <c r="D497" s="192">
        <v>2100000</v>
      </c>
    </row>
    <row r="498" spans="1:4" ht="20.100000000000001" hidden="1" customHeight="1">
      <c r="A498" s="132"/>
      <c r="B498" s="102" t="s">
        <v>1405</v>
      </c>
      <c r="C498" s="103" t="s">
        <v>151</v>
      </c>
      <c r="D498" s="192"/>
    </row>
    <row r="499" spans="1:4" ht="20.100000000000001" hidden="1" customHeight="1">
      <c r="A499" s="132"/>
      <c r="B499" s="102" t="s">
        <v>1406</v>
      </c>
      <c r="C499" s="103" t="s">
        <v>153</v>
      </c>
      <c r="D499" s="192">
        <v>1590000</v>
      </c>
    </row>
    <row r="500" spans="1:4" ht="20.100000000000001" hidden="1" customHeight="1">
      <c r="A500" s="132"/>
      <c r="B500" s="102" t="s">
        <v>1407</v>
      </c>
      <c r="C500" s="103" t="s">
        <v>155</v>
      </c>
      <c r="D500" s="192">
        <v>989000</v>
      </c>
    </row>
    <row r="501" spans="1:4" ht="20.100000000000001" hidden="1" customHeight="1">
      <c r="A501" s="132"/>
      <c r="B501" s="102" t="s">
        <v>1408</v>
      </c>
      <c r="C501" s="103" t="s">
        <v>712</v>
      </c>
      <c r="D501" s="192"/>
    </row>
    <row r="502" spans="1:4" ht="20.100000000000001" hidden="1" customHeight="1">
      <c r="A502" s="132"/>
      <c r="B502" s="102" t="s">
        <v>1409</v>
      </c>
      <c r="C502" s="103" t="s">
        <v>714</v>
      </c>
      <c r="D502" s="192">
        <v>55000000</v>
      </c>
    </row>
    <row r="503" spans="1:4" ht="20.100000000000001" hidden="1" customHeight="1">
      <c r="A503" s="132"/>
      <c r="B503" s="102" t="s">
        <v>1410</v>
      </c>
      <c r="C503" s="103" t="s">
        <v>328</v>
      </c>
      <c r="D503" s="192"/>
    </row>
    <row r="504" spans="1:4" ht="20.100000000000001" hidden="1" customHeight="1">
      <c r="A504" s="132"/>
      <c r="B504" s="102" t="s">
        <v>1411</v>
      </c>
      <c r="C504" s="103" t="s">
        <v>330</v>
      </c>
      <c r="D504" s="192">
        <v>15000000</v>
      </c>
    </row>
    <row r="505" spans="1:4" ht="20.100000000000001" hidden="1" customHeight="1">
      <c r="A505" s="132"/>
      <c r="B505" s="102" t="s">
        <v>1412</v>
      </c>
      <c r="C505" s="103" t="s">
        <v>193</v>
      </c>
      <c r="D505" s="192"/>
    </row>
    <row r="506" spans="1:4" ht="20.100000000000001" hidden="1" customHeight="1">
      <c r="A506" s="132"/>
      <c r="B506" s="102" t="s">
        <v>1413</v>
      </c>
      <c r="C506" s="103" t="s">
        <v>195</v>
      </c>
      <c r="D506" s="192">
        <v>7979000</v>
      </c>
    </row>
    <row r="507" spans="1:4" ht="20.100000000000001" hidden="1" customHeight="1">
      <c r="A507" s="132"/>
      <c r="B507" s="102" t="s">
        <v>1414</v>
      </c>
      <c r="C507" s="103" t="s">
        <v>157</v>
      </c>
      <c r="D507" s="192"/>
    </row>
    <row r="508" spans="1:4" ht="20.100000000000001" hidden="1" customHeight="1">
      <c r="A508" s="132"/>
      <c r="B508" s="102" t="s">
        <v>1415</v>
      </c>
      <c r="C508" s="103" t="s">
        <v>159</v>
      </c>
      <c r="D508" s="192">
        <v>5760000</v>
      </c>
    </row>
    <row r="509" spans="1:4" ht="20.100000000000001" hidden="1" customHeight="1">
      <c r="A509" s="132"/>
      <c r="B509" s="102" t="s">
        <v>1416</v>
      </c>
      <c r="C509" s="103" t="s">
        <v>207</v>
      </c>
      <c r="D509" s="192">
        <v>155975000</v>
      </c>
    </row>
    <row r="510" spans="1:4" ht="20.100000000000001" hidden="1" customHeight="1">
      <c r="A510" s="132"/>
      <c r="B510" s="102" t="s">
        <v>1417</v>
      </c>
      <c r="C510" s="103" t="s">
        <v>812</v>
      </c>
      <c r="D510" s="192"/>
    </row>
    <row r="511" spans="1:4" ht="20.100000000000001" hidden="1" customHeight="1">
      <c r="A511" s="132"/>
      <c r="B511" s="102" t="s">
        <v>1418</v>
      </c>
      <c r="C511" s="103" t="s">
        <v>814</v>
      </c>
      <c r="D511" s="192">
        <v>42000000</v>
      </c>
    </row>
    <row r="512" spans="1:4" ht="20.100000000000001" hidden="1" customHeight="1">
      <c r="A512" s="132"/>
      <c r="B512" s="102" t="s">
        <v>1419</v>
      </c>
      <c r="C512" s="103" t="s">
        <v>402</v>
      </c>
      <c r="D512" s="192"/>
    </row>
    <row r="513" spans="1:4" ht="20.100000000000001" hidden="1" customHeight="1">
      <c r="A513" s="132"/>
      <c r="B513" s="102" t="s">
        <v>1420</v>
      </c>
      <c r="C513" s="103" t="s">
        <v>404</v>
      </c>
      <c r="D513" s="192">
        <v>2100000</v>
      </c>
    </row>
    <row r="514" spans="1:4" ht="20.100000000000001" customHeight="1">
      <c r="A514" s="130">
        <v>32</v>
      </c>
      <c r="B514" s="187" t="s">
        <v>1421</v>
      </c>
      <c r="C514" s="188" t="s">
        <v>35</v>
      </c>
      <c r="D514" s="192">
        <v>310400000</v>
      </c>
    </row>
    <row r="515" spans="1:4" ht="20.100000000000001" hidden="1" customHeight="1">
      <c r="A515" s="132"/>
      <c r="B515" s="102" t="s">
        <v>1422</v>
      </c>
      <c r="C515" s="103" t="s">
        <v>10</v>
      </c>
      <c r="D515" s="192"/>
    </row>
    <row r="516" spans="1:4" ht="20.100000000000001" hidden="1" customHeight="1">
      <c r="A516" s="132"/>
      <c r="B516" s="102" t="s">
        <v>1423</v>
      </c>
      <c r="C516" s="103" t="s">
        <v>177</v>
      </c>
      <c r="D516" s="192"/>
    </row>
    <row r="517" spans="1:4" ht="20.100000000000001" hidden="1" customHeight="1">
      <c r="A517" s="132"/>
      <c r="B517" s="102" t="s">
        <v>1424</v>
      </c>
      <c r="C517" s="103" t="s">
        <v>283</v>
      </c>
      <c r="D517" s="192">
        <v>15000000</v>
      </c>
    </row>
    <row r="518" spans="1:4" ht="20.100000000000001" hidden="1" customHeight="1">
      <c r="A518" s="132"/>
      <c r="B518" s="102" t="s">
        <v>1425</v>
      </c>
      <c r="C518" s="103" t="s">
        <v>384</v>
      </c>
      <c r="D518" s="192">
        <v>795000</v>
      </c>
    </row>
    <row r="519" spans="1:4" ht="20.100000000000001" hidden="1" customHeight="1">
      <c r="A519" s="132"/>
      <c r="B519" s="102" t="s">
        <v>1426</v>
      </c>
      <c r="C519" s="103" t="s">
        <v>143</v>
      </c>
      <c r="D519" s="192"/>
    </row>
    <row r="520" spans="1:4" ht="20.100000000000001" hidden="1" customHeight="1">
      <c r="A520" s="132"/>
      <c r="B520" s="102" t="s">
        <v>1427</v>
      </c>
      <c r="C520" s="103" t="s">
        <v>145</v>
      </c>
      <c r="D520" s="192"/>
    </row>
    <row r="521" spans="1:4" ht="20.100000000000001" hidden="1" customHeight="1">
      <c r="A521" s="132"/>
      <c r="B521" s="102" t="s">
        <v>1428</v>
      </c>
      <c r="C521" s="103" t="s">
        <v>147</v>
      </c>
      <c r="D521" s="192">
        <v>5597000</v>
      </c>
    </row>
    <row r="522" spans="1:4" ht="20.100000000000001" hidden="1" customHeight="1">
      <c r="A522" s="132"/>
      <c r="B522" s="102" t="s">
        <v>1429</v>
      </c>
      <c r="C522" s="103" t="s">
        <v>389</v>
      </c>
      <c r="D522" s="192"/>
    </row>
    <row r="523" spans="1:4" ht="20.100000000000001" hidden="1" customHeight="1">
      <c r="A523" s="132"/>
      <c r="B523" s="102" t="s">
        <v>1430</v>
      </c>
      <c r="C523" s="103" t="s">
        <v>610</v>
      </c>
      <c r="D523" s="192">
        <v>840000</v>
      </c>
    </row>
    <row r="524" spans="1:4" ht="20.100000000000001" hidden="1" customHeight="1">
      <c r="A524" s="132"/>
      <c r="B524" s="102" t="s">
        <v>1431</v>
      </c>
      <c r="C524" s="103" t="s">
        <v>391</v>
      </c>
      <c r="D524" s="192">
        <v>16000000</v>
      </c>
    </row>
    <row r="525" spans="1:4" ht="20.100000000000001" hidden="1" customHeight="1">
      <c r="A525" s="132"/>
      <c r="B525" s="102" t="s">
        <v>1432</v>
      </c>
      <c r="C525" s="103" t="s">
        <v>163</v>
      </c>
      <c r="D525" s="192"/>
    </row>
    <row r="526" spans="1:4" ht="20.100000000000001" hidden="1" customHeight="1">
      <c r="A526" s="132"/>
      <c r="B526" s="102" t="s">
        <v>1433</v>
      </c>
      <c r="C526" s="103" t="s">
        <v>349</v>
      </c>
      <c r="D526" s="192">
        <v>2220000</v>
      </c>
    </row>
    <row r="527" spans="1:4" ht="20.100000000000001" hidden="1" customHeight="1">
      <c r="A527" s="132"/>
      <c r="B527" s="102" t="s">
        <v>1434</v>
      </c>
      <c r="C527" s="103" t="s">
        <v>352</v>
      </c>
      <c r="D527" s="192">
        <v>24250000</v>
      </c>
    </row>
    <row r="528" spans="1:4" ht="20.100000000000001" hidden="1" customHeight="1">
      <c r="A528" s="132"/>
      <c r="B528" s="102" t="s">
        <v>1435</v>
      </c>
      <c r="C528" s="103" t="s">
        <v>151</v>
      </c>
      <c r="D528" s="192"/>
    </row>
    <row r="529" spans="1:4" ht="20.100000000000001" hidden="1" customHeight="1">
      <c r="A529" s="132"/>
      <c r="B529" s="102" t="s">
        <v>1436</v>
      </c>
      <c r="C529" s="103" t="s">
        <v>155</v>
      </c>
      <c r="D529" s="192">
        <v>939500</v>
      </c>
    </row>
    <row r="530" spans="1:4" ht="20.100000000000001" hidden="1" customHeight="1">
      <c r="A530" s="132"/>
      <c r="B530" s="102" t="s">
        <v>1437</v>
      </c>
      <c r="C530" s="103" t="s">
        <v>712</v>
      </c>
      <c r="D530" s="192"/>
    </row>
    <row r="531" spans="1:4" ht="20.100000000000001" hidden="1" customHeight="1">
      <c r="A531" s="132"/>
      <c r="B531" s="102" t="s">
        <v>1438</v>
      </c>
      <c r="C531" s="103" t="s">
        <v>714</v>
      </c>
      <c r="D531" s="192">
        <v>41000000</v>
      </c>
    </row>
    <row r="532" spans="1:4" ht="20.100000000000001" hidden="1" customHeight="1">
      <c r="A532" s="132"/>
      <c r="B532" s="102" t="s">
        <v>1439</v>
      </c>
      <c r="C532" s="103" t="s">
        <v>328</v>
      </c>
      <c r="D532" s="192"/>
    </row>
    <row r="533" spans="1:4" ht="20.100000000000001" hidden="1" customHeight="1">
      <c r="A533" s="132"/>
      <c r="B533" s="102" t="s">
        <v>1440</v>
      </c>
      <c r="C533" s="103" t="s">
        <v>330</v>
      </c>
      <c r="D533" s="192">
        <v>15270000</v>
      </c>
    </row>
    <row r="534" spans="1:4" ht="20.100000000000001" hidden="1" customHeight="1">
      <c r="A534" s="132"/>
      <c r="B534" s="102" t="s">
        <v>1441</v>
      </c>
      <c r="C534" s="103" t="s">
        <v>193</v>
      </c>
      <c r="D534" s="192"/>
    </row>
    <row r="535" spans="1:4" ht="20.100000000000001" hidden="1" customHeight="1">
      <c r="A535" s="132"/>
      <c r="B535" s="102" t="s">
        <v>1442</v>
      </c>
      <c r="C535" s="103" t="s">
        <v>195</v>
      </c>
      <c r="D535" s="192">
        <v>26203500</v>
      </c>
    </row>
    <row r="536" spans="1:4" ht="20.100000000000001" hidden="1" customHeight="1">
      <c r="A536" s="132"/>
      <c r="B536" s="102" t="s">
        <v>1443</v>
      </c>
      <c r="C536" s="103" t="s">
        <v>157</v>
      </c>
      <c r="D536" s="192"/>
    </row>
    <row r="537" spans="1:4" ht="20.100000000000001" hidden="1" customHeight="1">
      <c r="A537" s="132"/>
      <c r="B537" s="102" t="s">
        <v>1444</v>
      </c>
      <c r="C537" s="103" t="s">
        <v>159</v>
      </c>
      <c r="D537" s="192">
        <v>14760000</v>
      </c>
    </row>
    <row r="538" spans="1:4" ht="20.100000000000001" hidden="1" customHeight="1">
      <c r="A538" s="132"/>
      <c r="B538" s="102" t="s">
        <v>1445</v>
      </c>
      <c r="C538" s="103" t="s">
        <v>207</v>
      </c>
      <c r="D538" s="192">
        <v>119625000</v>
      </c>
    </row>
    <row r="539" spans="1:4" ht="20.100000000000001" hidden="1" customHeight="1">
      <c r="A539" s="132"/>
      <c r="B539" s="102" t="s">
        <v>1446</v>
      </c>
      <c r="C539" s="103" t="s">
        <v>402</v>
      </c>
      <c r="D539" s="192"/>
    </row>
    <row r="540" spans="1:4" ht="20.100000000000001" hidden="1" customHeight="1">
      <c r="A540" s="132"/>
      <c r="B540" s="102" t="s">
        <v>1447</v>
      </c>
      <c r="C540" s="103" t="s">
        <v>404</v>
      </c>
      <c r="D540" s="192">
        <v>27900000</v>
      </c>
    </row>
    <row r="541" spans="1:4" ht="20.100000000000001" customHeight="1">
      <c r="A541" s="130">
        <v>33</v>
      </c>
      <c r="B541" s="187" t="s">
        <v>1448</v>
      </c>
      <c r="C541" s="188" t="s">
        <v>36</v>
      </c>
      <c r="D541" s="192">
        <v>286306000</v>
      </c>
    </row>
    <row r="542" spans="1:4" ht="20.100000000000001" hidden="1" customHeight="1">
      <c r="A542" s="132"/>
      <c r="B542" s="102" t="s">
        <v>1449</v>
      </c>
      <c r="C542" s="103" t="s">
        <v>10</v>
      </c>
      <c r="D542" s="192"/>
    </row>
    <row r="543" spans="1:4" ht="20.100000000000001" hidden="1" customHeight="1">
      <c r="A543" s="132"/>
      <c r="B543" s="102" t="s">
        <v>1450</v>
      </c>
      <c r="C543" s="103" t="s">
        <v>177</v>
      </c>
      <c r="D543" s="192"/>
    </row>
    <row r="544" spans="1:4" ht="20.100000000000001" hidden="1" customHeight="1">
      <c r="A544" s="132"/>
      <c r="B544" s="102" t="s">
        <v>1451</v>
      </c>
      <c r="C544" s="103" t="s">
        <v>283</v>
      </c>
      <c r="D544" s="192">
        <v>9200000</v>
      </c>
    </row>
    <row r="545" spans="1:4" ht="20.100000000000001" hidden="1" customHeight="1">
      <c r="A545" s="132"/>
      <c r="B545" s="102" t="s">
        <v>1452</v>
      </c>
      <c r="C545" s="103" t="s">
        <v>384</v>
      </c>
      <c r="D545" s="192">
        <v>1300000</v>
      </c>
    </row>
    <row r="546" spans="1:4" ht="20.100000000000001" hidden="1" customHeight="1">
      <c r="A546" s="132"/>
      <c r="B546" s="102" t="s">
        <v>1453</v>
      </c>
      <c r="C546" s="103" t="s">
        <v>143</v>
      </c>
      <c r="D546" s="192"/>
    </row>
    <row r="547" spans="1:4" ht="20.100000000000001" hidden="1" customHeight="1">
      <c r="A547" s="132"/>
      <c r="B547" s="102" t="s">
        <v>1454</v>
      </c>
      <c r="C547" s="103" t="s">
        <v>145</v>
      </c>
      <c r="D547" s="192"/>
    </row>
    <row r="548" spans="1:4" ht="20.100000000000001" hidden="1" customHeight="1">
      <c r="A548" s="132"/>
      <c r="B548" s="102" t="s">
        <v>1455</v>
      </c>
      <c r="C548" s="103" t="s">
        <v>147</v>
      </c>
      <c r="D548" s="192">
        <v>1291000</v>
      </c>
    </row>
    <row r="549" spans="1:4" ht="20.100000000000001" hidden="1" customHeight="1">
      <c r="A549" s="132"/>
      <c r="B549" s="102" t="s">
        <v>1456</v>
      </c>
      <c r="C549" s="103" t="s">
        <v>389</v>
      </c>
      <c r="D549" s="192"/>
    </row>
    <row r="550" spans="1:4" ht="20.100000000000001" hidden="1" customHeight="1">
      <c r="A550" s="132"/>
      <c r="B550" s="102" t="s">
        <v>1457</v>
      </c>
      <c r="C550" s="103" t="s">
        <v>391</v>
      </c>
      <c r="D550" s="192">
        <v>7417500</v>
      </c>
    </row>
    <row r="551" spans="1:4" ht="20.100000000000001" hidden="1" customHeight="1">
      <c r="A551" s="132"/>
      <c r="B551" s="102" t="s">
        <v>1458</v>
      </c>
      <c r="C551" s="103" t="s">
        <v>163</v>
      </c>
      <c r="D551" s="192"/>
    </row>
    <row r="552" spans="1:4" ht="20.100000000000001" hidden="1" customHeight="1">
      <c r="A552" s="132"/>
      <c r="B552" s="102" t="s">
        <v>1459</v>
      </c>
      <c r="C552" s="103" t="s">
        <v>349</v>
      </c>
      <c r="D552" s="192">
        <v>960000</v>
      </c>
    </row>
    <row r="553" spans="1:4" ht="20.100000000000001" hidden="1" customHeight="1">
      <c r="A553" s="132"/>
      <c r="B553" s="102" t="s">
        <v>1460</v>
      </c>
      <c r="C553" s="103" t="s">
        <v>615</v>
      </c>
      <c r="D553" s="192">
        <v>6000000</v>
      </c>
    </row>
    <row r="554" spans="1:4" ht="20.100000000000001" hidden="1" customHeight="1">
      <c r="A554" s="132"/>
      <c r="B554" s="102" t="s">
        <v>1461</v>
      </c>
      <c r="C554" s="103" t="s">
        <v>352</v>
      </c>
      <c r="D554" s="192">
        <v>24000000</v>
      </c>
    </row>
    <row r="555" spans="1:4" ht="20.100000000000001" hidden="1" customHeight="1">
      <c r="A555" s="132"/>
      <c r="B555" s="102" t="s">
        <v>1462</v>
      </c>
      <c r="C555" s="103" t="s">
        <v>151</v>
      </c>
      <c r="D555" s="192"/>
    </row>
    <row r="556" spans="1:4" ht="20.100000000000001" hidden="1" customHeight="1">
      <c r="A556" s="132"/>
      <c r="B556" s="102" t="s">
        <v>1463</v>
      </c>
      <c r="C556" s="103" t="s">
        <v>153</v>
      </c>
      <c r="D556" s="192">
        <v>3500000</v>
      </c>
    </row>
    <row r="557" spans="1:4" ht="20.100000000000001" hidden="1" customHeight="1">
      <c r="A557" s="132"/>
      <c r="B557" s="102" t="s">
        <v>1464</v>
      </c>
      <c r="C557" s="103" t="s">
        <v>155</v>
      </c>
      <c r="D557" s="192">
        <v>920000</v>
      </c>
    </row>
    <row r="558" spans="1:4" ht="20.100000000000001" hidden="1" customHeight="1">
      <c r="A558" s="132"/>
      <c r="B558" s="102" t="s">
        <v>1465</v>
      </c>
      <c r="C558" s="103" t="s">
        <v>309</v>
      </c>
      <c r="D558" s="192">
        <v>150000</v>
      </c>
    </row>
    <row r="559" spans="1:4" ht="20.100000000000001" hidden="1" customHeight="1">
      <c r="A559" s="132"/>
      <c r="B559" s="102" t="s">
        <v>1466</v>
      </c>
      <c r="C559" s="103" t="s">
        <v>712</v>
      </c>
      <c r="D559" s="192"/>
    </row>
    <row r="560" spans="1:4" ht="20.100000000000001" hidden="1" customHeight="1">
      <c r="A560" s="132"/>
      <c r="B560" s="102" t="s">
        <v>1467</v>
      </c>
      <c r="C560" s="103" t="s">
        <v>714</v>
      </c>
      <c r="D560" s="192">
        <v>3750000</v>
      </c>
    </row>
    <row r="561" spans="1:4" ht="20.100000000000001" hidden="1" customHeight="1">
      <c r="A561" s="132"/>
      <c r="B561" s="102" t="s">
        <v>1468</v>
      </c>
      <c r="C561" s="103" t="s">
        <v>193</v>
      </c>
      <c r="D561" s="192"/>
    </row>
    <row r="562" spans="1:4" ht="20.100000000000001" hidden="1" customHeight="1">
      <c r="A562" s="132"/>
      <c r="B562" s="102" t="s">
        <v>1469</v>
      </c>
      <c r="C562" s="103" t="s">
        <v>195</v>
      </c>
      <c r="D562" s="192">
        <v>36247500</v>
      </c>
    </row>
    <row r="563" spans="1:4" ht="20.100000000000001" hidden="1" customHeight="1">
      <c r="A563" s="132"/>
      <c r="B563" s="102" t="s">
        <v>1470</v>
      </c>
      <c r="C563" s="103" t="s">
        <v>157</v>
      </c>
      <c r="D563" s="192"/>
    </row>
    <row r="564" spans="1:4" ht="20.100000000000001" hidden="1" customHeight="1">
      <c r="A564" s="132"/>
      <c r="B564" s="102" t="s">
        <v>1471</v>
      </c>
      <c r="C564" s="103" t="s">
        <v>159</v>
      </c>
      <c r="D564" s="192">
        <v>17270000</v>
      </c>
    </row>
    <row r="565" spans="1:4" ht="20.100000000000001" hidden="1" customHeight="1">
      <c r="A565" s="132"/>
      <c r="B565" s="102" t="s">
        <v>1472</v>
      </c>
      <c r="C565" s="103" t="s">
        <v>207</v>
      </c>
      <c r="D565" s="192">
        <v>9100000</v>
      </c>
    </row>
    <row r="566" spans="1:4" ht="20.100000000000001" hidden="1" customHeight="1">
      <c r="A566" s="132"/>
      <c r="B566" s="102" t="s">
        <v>1473</v>
      </c>
      <c r="C566" s="103" t="s">
        <v>402</v>
      </c>
      <c r="D566" s="192"/>
    </row>
    <row r="567" spans="1:4" ht="20.100000000000001" hidden="1" customHeight="1">
      <c r="A567" s="132"/>
      <c r="B567" s="102" t="s">
        <v>1474</v>
      </c>
      <c r="C567" s="103" t="s">
        <v>404</v>
      </c>
      <c r="D567" s="192">
        <v>98700000</v>
      </c>
    </row>
    <row r="568" spans="1:4" ht="20.100000000000001" hidden="1" customHeight="1">
      <c r="A568" s="132"/>
      <c r="B568" s="102" t="s">
        <v>1475</v>
      </c>
      <c r="C568" s="103" t="s">
        <v>270</v>
      </c>
      <c r="D568" s="192"/>
    </row>
    <row r="569" spans="1:4" ht="20.100000000000001" hidden="1" customHeight="1">
      <c r="A569" s="132"/>
      <c r="B569" s="102" t="s">
        <v>1476</v>
      </c>
      <c r="C569" s="103" t="s">
        <v>1477</v>
      </c>
      <c r="D569" s="192"/>
    </row>
    <row r="570" spans="1:4" ht="20.100000000000001" hidden="1" customHeight="1">
      <c r="A570" s="132"/>
      <c r="B570" s="102" t="s">
        <v>1478</v>
      </c>
      <c r="C570" s="103" t="s">
        <v>1479</v>
      </c>
      <c r="D570" s="192">
        <v>66500000</v>
      </c>
    </row>
    <row r="571" spans="1:4" ht="20.100000000000001" customHeight="1">
      <c r="A571" s="129" t="s">
        <v>748</v>
      </c>
      <c r="B571" s="106" t="s">
        <v>1480</v>
      </c>
      <c r="C571" s="107" t="s">
        <v>8</v>
      </c>
      <c r="D571" s="192">
        <v>175160000</v>
      </c>
    </row>
    <row r="572" spans="1:4" ht="47.25" customHeight="1">
      <c r="A572" s="130">
        <v>34</v>
      </c>
      <c r="B572" s="187" t="s">
        <v>1481</v>
      </c>
      <c r="C572" s="188" t="s">
        <v>319</v>
      </c>
      <c r="D572" s="192">
        <v>80748000</v>
      </c>
    </row>
    <row r="573" spans="1:4" ht="20.100000000000001" hidden="1" customHeight="1">
      <c r="A573" s="132"/>
      <c r="B573" s="102" t="s">
        <v>1482</v>
      </c>
      <c r="C573" s="103" t="s">
        <v>143</v>
      </c>
      <c r="D573" s="192"/>
    </row>
    <row r="574" spans="1:4" ht="20.100000000000001" hidden="1" customHeight="1">
      <c r="A574" s="132"/>
      <c r="B574" s="102" t="s">
        <v>1483</v>
      </c>
      <c r="C574" s="103" t="s">
        <v>145</v>
      </c>
      <c r="D574" s="192"/>
    </row>
    <row r="575" spans="1:4" ht="20.100000000000001" hidden="1" customHeight="1">
      <c r="A575" s="132"/>
      <c r="B575" s="102" t="s">
        <v>1484</v>
      </c>
      <c r="C575" s="103" t="s">
        <v>147</v>
      </c>
      <c r="D575" s="192">
        <v>510000</v>
      </c>
    </row>
    <row r="576" spans="1:4" ht="20.100000000000001" hidden="1" customHeight="1">
      <c r="A576" s="132"/>
      <c r="B576" s="102" t="s">
        <v>1485</v>
      </c>
      <c r="C576" s="103" t="s">
        <v>149</v>
      </c>
      <c r="D576" s="192">
        <v>216000</v>
      </c>
    </row>
    <row r="577" spans="1:4" ht="20.100000000000001" hidden="1" customHeight="1">
      <c r="A577" s="132"/>
      <c r="B577" s="102" t="s">
        <v>1486</v>
      </c>
      <c r="C577" s="103" t="s">
        <v>151</v>
      </c>
      <c r="D577" s="192"/>
    </row>
    <row r="578" spans="1:4" ht="20.100000000000001" hidden="1" customHeight="1">
      <c r="A578" s="132"/>
      <c r="B578" s="102" t="s">
        <v>1487</v>
      </c>
      <c r="C578" s="103" t="s">
        <v>155</v>
      </c>
      <c r="D578" s="192">
        <v>447000</v>
      </c>
    </row>
    <row r="579" spans="1:4" ht="20.100000000000001" hidden="1" customHeight="1">
      <c r="A579" s="132"/>
      <c r="B579" s="102" t="s">
        <v>1488</v>
      </c>
      <c r="C579" s="103" t="s">
        <v>328</v>
      </c>
      <c r="D579" s="192"/>
    </row>
    <row r="580" spans="1:4" ht="20.100000000000001" hidden="1" customHeight="1">
      <c r="A580" s="132"/>
      <c r="B580" s="102" t="s">
        <v>1489</v>
      </c>
      <c r="C580" s="103" t="s">
        <v>330</v>
      </c>
      <c r="D580" s="192">
        <v>7500000</v>
      </c>
    </row>
    <row r="581" spans="1:4" ht="20.100000000000001" hidden="1" customHeight="1">
      <c r="A581" s="132"/>
      <c r="B581" s="102" t="s">
        <v>1490</v>
      </c>
      <c r="C581" s="103" t="s">
        <v>157</v>
      </c>
      <c r="D581" s="192"/>
    </row>
    <row r="582" spans="1:4" ht="20.100000000000001" hidden="1" customHeight="1">
      <c r="A582" s="132"/>
      <c r="B582" s="102" t="s">
        <v>1491</v>
      </c>
      <c r="C582" s="103" t="s">
        <v>159</v>
      </c>
      <c r="D582" s="192">
        <v>1100000</v>
      </c>
    </row>
    <row r="583" spans="1:4" ht="20.100000000000001" hidden="1" customHeight="1">
      <c r="A583" s="132"/>
      <c r="B583" s="102" t="s">
        <v>1492</v>
      </c>
      <c r="C583" s="103" t="s">
        <v>207</v>
      </c>
      <c r="D583" s="192">
        <v>70975000</v>
      </c>
    </row>
    <row r="584" spans="1:4" ht="50.25" customHeight="1">
      <c r="A584" s="130">
        <v>35</v>
      </c>
      <c r="B584" s="187" t="s">
        <v>1493</v>
      </c>
      <c r="C584" s="188" t="s">
        <v>335</v>
      </c>
      <c r="D584" s="192">
        <v>94412000</v>
      </c>
    </row>
    <row r="585" spans="1:4" ht="20.100000000000001" hidden="1" customHeight="1">
      <c r="A585" s="132"/>
      <c r="B585" s="102" t="s">
        <v>1494</v>
      </c>
      <c r="C585" s="103" t="s">
        <v>10</v>
      </c>
      <c r="D585" s="192"/>
    </row>
    <row r="586" spans="1:4" ht="20.100000000000001" hidden="1" customHeight="1">
      <c r="A586" s="132"/>
      <c r="B586" s="102" t="s">
        <v>1495</v>
      </c>
      <c r="C586" s="103" t="s">
        <v>177</v>
      </c>
      <c r="D586" s="192"/>
    </row>
    <row r="587" spans="1:4" ht="20.100000000000001" hidden="1" customHeight="1">
      <c r="A587" s="132"/>
      <c r="B587" s="102" t="s">
        <v>1496</v>
      </c>
      <c r="C587" s="103" t="s">
        <v>283</v>
      </c>
      <c r="D587" s="192">
        <v>9825000</v>
      </c>
    </row>
    <row r="588" spans="1:4" ht="20.100000000000001" hidden="1" customHeight="1">
      <c r="A588" s="132"/>
      <c r="B588" s="102" t="s">
        <v>1497</v>
      </c>
      <c r="C588" s="103" t="s">
        <v>341</v>
      </c>
      <c r="D588" s="192"/>
    </row>
    <row r="589" spans="1:4" ht="20.100000000000001" hidden="1" customHeight="1">
      <c r="A589" s="132"/>
      <c r="B589" s="102" t="s">
        <v>1498</v>
      </c>
      <c r="C589" s="103" t="s">
        <v>1185</v>
      </c>
      <c r="D589" s="192">
        <v>3300000</v>
      </c>
    </row>
    <row r="590" spans="1:4" ht="20.100000000000001" hidden="1" customHeight="1">
      <c r="A590" s="132"/>
      <c r="B590" s="102" t="s">
        <v>1499</v>
      </c>
      <c r="C590" s="103" t="s">
        <v>143</v>
      </c>
      <c r="D590" s="192"/>
    </row>
    <row r="591" spans="1:4" ht="20.100000000000001" hidden="1" customHeight="1">
      <c r="A591" s="132"/>
      <c r="B591" s="102" t="s">
        <v>1500</v>
      </c>
      <c r="C591" s="103" t="s">
        <v>145</v>
      </c>
      <c r="D591" s="192"/>
    </row>
    <row r="592" spans="1:4" ht="20.100000000000001" hidden="1" customHeight="1">
      <c r="A592" s="132"/>
      <c r="B592" s="102" t="s">
        <v>1501</v>
      </c>
      <c r="C592" s="103" t="s">
        <v>147</v>
      </c>
      <c r="D592" s="192">
        <v>1303000</v>
      </c>
    </row>
    <row r="593" spans="1:4" ht="20.100000000000001" hidden="1" customHeight="1">
      <c r="A593" s="132"/>
      <c r="B593" s="102" t="s">
        <v>1502</v>
      </c>
      <c r="C593" s="103" t="s">
        <v>149</v>
      </c>
      <c r="D593" s="192">
        <v>198000</v>
      </c>
    </row>
    <row r="594" spans="1:4" ht="20.100000000000001" hidden="1" customHeight="1">
      <c r="A594" s="132"/>
      <c r="B594" s="102" t="s">
        <v>1503</v>
      </c>
      <c r="C594" s="103" t="s">
        <v>163</v>
      </c>
      <c r="D594" s="192"/>
    </row>
    <row r="595" spans="1:4" ht="20.100000000000001" hidden="1" customHeight="1">
      <c r="A595" s="132"/>
      <c r="B595" s="102" t="s">
        <v>1504</v>
      </c>
      <c r="C595" s="103" t="s">
        <v>349</v>
      </c>
      <c r="D595" s="192">
        <v>351000</v>
      </c>
    </row>
    <row r="596" spans="1:4" ht="20.100000000000001" hidden="1" customHeight="1">
      <c r="A596" s="132"/>
      <c r="B596" s="102" t="s">
        <v>1505</v>
      </c>
      <c r="C596" s="103" t="s">
        <v>231</v>
      </c>
      <c r="D596" s="192">
        <v>825000</v>
      </c>
    </row>
    <row r="597" spans="1:4" ht="20.100000000000001" hidden="1" customHeight="1">
      <c r="A597" s="132"/>
      <c r="B597" s="102" t="s">
        <v>1506</v>
      </c>
      <c r="C597" s="103" t="s">
        <v>352</v>
      </c>
      <c r="D597" s="192">
        <v>25000000</v>
      </c>
    </row>
    <row r="598" spans="1:4" ht="20.100000000000001" hidden="1" customHeight="1">
      <c r="A598" s="132"/>
      <c r="B598" s="102" t="s">
        <v>1507</v>
      </c>
      <c r="C598" s="103" t="s">
        <v>151</v>
      </c>
      <c r="D598" s="192"/>
    </row>
    <row r="599" spans="1:4" ht="20.100000000000001" hidden="1" customHeight="1">
      <c r="A599" s="132"/>
      <c r="B599" s="102" t="s">
        <v>1508</v>
      </c>
      <c r="C599" s="103" t="s">
        <v>153</v>
      </c>
      <c r="D599" s="192">
        <v>75000</v>
      </c>
    </row>
    <row r="600" spans="1:4" ht="20.100000000000001" hidden="1" customHeight="1">
      <c r="A600" s="132"/>
      <c r="B600" s="102" t="s">
        <v>1509</v>
      </c>
      <c r="C600" s="103" t="s">
        <v>155</v>
      </c>
      <c r="D600" s="192">
        <v>920000</v>
      </c>
    </row>
    <row r="601" spans="1:4" ht="20.100000000000001" hidden="1" customHeight="1">
      <c r="A601" s="132"/>
      <c r="B601" s="102" t="s">
        <v>1510</v>
      </c>
      <c r="C601" s="103" t="s">
        <v>328</v>
      </c>
      <c r="D601" s="192"/>
    </row>
    <row r="602" spans="1:4" ht="20.100000000000001" hidden="1" customHeight="1">
      <c r="A602" s="132"/>
      <c r="B602" s="102" t="s">
        <v>1511</v>
      </c>
      <c r="C602" s="103" t="s">
        <v>330</v>
      </c>
      <c r="D602" s="192">
        <v>10000000</v>
      </c>
    </row>
    <row r="603" spans="1:4" ht="20.100000000000001" hidden="1" customHeight="1">
      <c r="A603" s="132"/>
      <c r="B603" s="102" t="s">
        <v>1512</v>
      </c>
      <c r="C603" s="103" t="s">
        <v>193</v>
      </c>
      <c r="D603" s="192"/>
    </row>
    <row r="604" spans="1:4" ht="20.100000000000001" hidden="1" customHeight="1">
      <c r="A604" s="132"/>
      <c r="B604" s="102" t="s">
        <v>1513</v>
      </c>
      <c r="C604" s="103" t="s">
        <v>195</v>
      </c>
      <c r="D604" s="192">
        <v>3180000</v>
      </c>
    </row>
    <row r="605" spans="1:4" ht="20.100000000000001" hidden="1" customHeight="1">
      <c r="A605" s="132"/>
      <c r="B605" s="102" t="s">
        <v>1514</v>
      </c>
      <c r="C605" s="103" t="s">
        <v>157</v>
      </c>
      <c r="D605" s="192"/>
    </row>
    <row r="606" spans="1:4" ht="20.100000000000001" hidden="1" customHeight="1">
      <c r="A606" s="132"/>
      <c r="B606" s="102" t="s">
        <v>1515</v>
      </c>
      <c r="C606" s="103" t="s">
        <v>159</v>
      </c>
      <c r="D606" s="192">
        <v>3960000</v>
      </c>
    </row>
    <row r="607" spans="1:4" ht="20.100000000000001" hidden="1" customHeight="1">
      <c r="A607" s="132"/>
      <c r="B607" s="102" t="s">
        <v>1516</v>
      </c>
      <c r="C607" s="103" t="s">
        <v>207</v>
      </c>
      <c r="D607" s="192">
        <v>35475000</v>
      </c>
    </row>
    <row r="608" spans="1:4" ht="20.100000000000001" customHeight="1">
      <c r="A608" s="129" t="s">
        <v>846</v>
      </c>
      <c r="B608" s="106" t="s">
        <v>1517</v>
      </c>
      <c r="C608" s="107" t="s">
        <v>7</v>
      </c>
      <c r="D608" s="192">
        <v>37699000</v>
      </c>
    </row>
    <row r="609" spans="1:4" ht="20.100000000000001" customHeight="1">
      <c r="A609" s="130">
        <v>36</v>
      </c>
      <c r="B609" s="187" t="s">
        <v>1518</v>
      </c>
      <c r="C609" s="188" t="s">
        <v>1519</v>
      </c>
      <c r="D609" s="192">
        <v>24997000</v>
      </c>
    </row>
    <row r="610" spans="1:4" ht="20.100000000000001" hidden="1" customHeight="1">
      <c r="A610" s="132"/>
      <c r="B610" s="102" t="s">
        <v>1520</v>
      </c>
      <c r="C610" s="103" t="s">
        <v>10</v>
      </c>
      <c r="D610" s="192"/>
    </row>
    <row r="611" spans="1:4" ht="20.100000000000001" hidden="1" customHeight="1">
      <c r="A611" s="132"/>
      <c r="B611" s="102" t="s">
        <v>1521</v>
      </c>
      <c r="C611" s="103" t="s">
        <v>177</v>
      </c>
      <c r="D611" s="192"/>
    </row>
    <row r="612" spans="1:4" ht="20.100000000000001" hidden="1" customHeight="1">
      <c r="A612" s="132"/>
      <c r="B612" s="102" t="s">
        <v>1522</v>
      </c>
      <c r="C612" s="103" t="s">
        <v>283</v>
      </c>
      <c r="D612" s="192">
        <v>3210000</v>
      </c>
    </row>
    <row r="613" spans="1:4" ht="20.100000000000001" hidden="1" customHeight="1">
      <c r="A613" s="132"/>
      <c r="B613" s="102" t="s">
        <v>1523</v>
      </c>
      <c r="C613" s="103" t="s">
        <v>143</v>
      </c>
      <c r="D613" s="192"/>
    </row>
    <row r="614" spans="1:4" ht="20.100000000000001" hidden="1" customHeight="1">
      <c r="A614" s="132"/>
      <c r="B614" s="102" t="s">
        <v>1524</v>
      </c>
      <c r="C614" s="103" t="s">
        <v>145</v>
      </c>
      <c r="D614" s="192"/>
    </row>
    <row r="615" spans="1:4" ht="20.100000000000001" hidden="1" customHeight="1">
      <c r="A615" s="132"/>
      <c r="B615" s="102" t="s">
        <v>1525</v>
      </c>
      <c r="C615" s="103" t="s">
        <v>147</v>
      </c>
      <c r="D615" s="192">
        <v>2447000</v>
      </c>
    </row>
    <row r="616" spans="1:4" ht="20.100000000000001" hidden="1" customHeight="1">
      <c r="A616" s="132"/>
      <c r="B616" s="102" t="s">
        <v>1526</v>
      </c>
      <c r="C616" s="103" t="s">
        <v>151</v>
      </c>
      <c r="D616" s="192"/>
    </row>
    <row r="617" spans="1:4" ht="20.100000000000001" hidden="1" customHeight="1">
      <c r="A617" s="132"/>
      <c r="B617" s="102" t="s">
        <v>1527</v>
      </c>
      <c r="C617" s="103" t="s">
        <v>155</v>
      </c>
      <c r="D617" s="192">
        <v>4715000</v>
      </c>
    </row>
    <row r="618" spans="1:4" ht="20.100000000000001" hidden="1" customHeight="1">
      <c r="A618" s="132"/>
      <c r="B618" s="102" t="s">
        <v>1528</v>
      </c>
      <c r="C618" s="103" t="s">
        <v>193</v>
      </c>
      <c r="D618" s="192"/>
    </row>
    <row r="619" spans="1:4" ht="20.100000000000001" hidden="1" customHeight="1">
      <c r="A619" s="132"/>
      <c r="B619" s="102" t="s">
        <v>1529</v>
      </c>
      <c r="C619" s="103" t="s">
        <v>195</v>
      </c>
      <c r="D619" s="192">
        <v>11745000</v>
      </c>
    </row>
    <row r="620" spans="1:4" ht="20.100000000000001" hidden="1" customHeight="1">
      <c r="A620" s="132"/>
      <c r="B620" s="102" t="s">
        <v>1530</v>
      </c>
      <c r="C620" s="103" t="s">
        <v>157</v>
      </c>
      <c r="D620" s="192"/>
    </row>
    <row r="621" spans="1:4" ht="20.100000000000001" hidden="1" customHeight="1">
      <c r="A621" s="132"/>
      <c r="B621" s="102" t="s">
        <v>1531</v>
      </c>
      <c r="C621" s="103" t="s">
        <v>159</v>
      </c>
      <c r="D621" s="192">
        <v>2880000</v>
      </c>
    </row>
    <row r="622" spans="1:4" ht="20.100000000000001" customHeight="1">
      <c r="A622" s="130">
        <v>37</v>
      </c>
      <c r="B622" s="187" t="s">
        <v>1532</v>
      </c>
      <c r="C622" s="188" t="s">
        <v>849</v>
      </c>
      <c r="D622" s="192">
        <v>12702000</v>
      </c>
    </row>
    <row r="623" spans="1:4" ht="20.100000000000001" hidden="1" customHeight="1">
      <c r="A623" s="132"/>
      <c r="B623" s="102" t="s">
        <v>1533</v>
      </c>
      <c r="C623" s="103" t="s">
        <v>10</v>
      </c>
      <c r="D623" s="192"/>
    </row>
    <row r="624" spans="1:4" ht="20.100000000000001" hidden="1" customHeight="1">
      <c r="A624" s="132"/>
      <c r="B624" s="102" t="s">
        <v>1534</v>
      </c>
      <c r="C624" s="103" t="s">
        <v>177</v>
      </c>
      <c r="D624" s="192"/>
    </row>
    <row r="625" spans="1:4" ht="20.100000000000001" hidden="1" customHeight="1">
      <c r="A625" s="132"/>
      <c r="B625" s="102" t="s">
        <v>1535</v>
      </c>
      <c r="C625" s="103" t="s">
        <v>283</v>
      </c>
      <c r="D625" s="192">
        <v>1720000</v>
      </c>
    </row>
    <row r="626" spans="1:4" ht="20.100000000000001" hidden="1" customHeight="1">
      <c r="A626" s="132"/>
      <c r="B626" s="102" t="s">
        <v>1536</v>
      </c>
      <c r="C626" s="103" t="s">
        <v>143</v>
      </c>
      <c r="D626" s="192"/>
    </row>
    <row r="627" spans="1:4" ht="20.100000000000001" hidden="1" customHeight="1">
      <c r="A627" s="132"/>
      <c r="B627" s="102" t="s">
        <v>1537</v>
      </c>
      <c r="C627" s="103" t="s">
        <v>145</v>
      </c>
      <c r="D627" s="192"/>
    </row>
    <row r="628" spans="1:4" ht="20.100000000000001" hidden="1" customHeight="1">
      <c r="A628" s="132"/>
      <c r="B628" s="102" t="s">
        <v>1538</v>
      </c>
      <c r="C628" s="103" t="s">
        <v>147</v>
      </c>
      <c r="D628" s="192">
        <v>3511000</v>
      </c>
    </row>
    <row r="629" spans="1:4" ht="20.100000000000001" hidden="1" customHeight="1">
      <c r="A629" s="132"/>
      <c r="B629" s="102" t="s">
        <v>1539</v>
      </c>
      <c r="C629" s="103" t="s">
        <v>151</v>
      </c>
      <c r="D629" s="192"/>
    </row>
    <row r="630" spans="1:4" ht="20.100000000000001" hidden="1" customHeight="1">
      <c r="A630" s="132"/>
      <c r="B630" s="102" t="s">
        <v>1540</v>
      </c>
      <c r="C630" s="103" t="s">
        <v>153</v>
      </c>
      <c r="D630" s="192">
        <v>74000</v>
      </c>
    </row>
    <row r="631" spans="1:4" ht="20.100000000000001" hidden="1" customHeight="1">
      <c r="A631" s="132"/>
      <c r="B631" s="102" t="s">
        <v>1541</v>
      </c>
      <c r="C631" s="103" t="s">
        <v>155</v>
      </c>
      <c r="D631" s="192">
        <v>2116000</v>
      </c>
    </row>
    <row r="632" spans="1:4" ht="20.100000000000001" hidden="1" customHeight="1">
      <c r="A632" s="132"/>
      <c r="B632" s="102" t="s">
        <v>1542</v>
      </c>
      <c r="C632" s="103" t="s">
        <v>193</v>
      </c>
      <c r="D632" s="192"/>
    </row>
    <row r="633" spans="1:4" ht="20.100000000000001" hidden="1" customHeight="1">
      <c r="A633" s="132"/>
      <c r="B633" s="102" t="s">
        <v>1543</v>
      </c>
      <c r="C633" s="103" t="s">
        <v>195</v>
      </c>
      <c r="D633" s="192">
        <v>4131000</v>
      </c>
    </row>
    <row r="634" spans="1:4" ht="20.100000000000001" hidden="1" customHeight="1">
      <c r="A634" s="132"/>
      <c r="B634" s="102" t="s">
        <v>1544</v>
      </c>
      <c r="C634" s="103" t="s">
        <v>157</v>
      </c>
      <c r="D634" s="192"/>
    </row>
    <row r="635" spans="1:4" ht="20.100000000000001" hidden="1" customHeight="1">
      <c r="A635" s="132"/>
      <c r="B635" s="102" t="s">
        <v>1545</v>
      </c>
      <c r="C635" s="103" t="s">
        <v>159</v>
      </c>
      <c r="D635" s="192">
        <v>1150000</v>
      </c>
    </row>
    <row r="636" spans="1:4" ht="20.100000000000001" customHeight="1">
      <c r="A636" s="132"/>
      <c r="B636" s="134"/>
      <c r="C636" s="98" t="s">
        <v>1555</v>
      </c>
      <c r="D636" s="192">
        <v>5321184000</v>
      </c>
    </row>
    <row r="637" spans="1:4" ht="20.100000000000001" customHeight="1">
      <c r="A637" s="126"/>
      <c r="B637" s="135"/>
      <c r="C637" s="126"/>
    </row>
    <row r="638" spans="1:4" ht="16.5">
      <c r="A638" s="126"/>
      <c r="B638" s="126"/>
      <c r="C638" s="126"/>
    </row>
    <row r="639" spans="1:4" ht="16.5">
      <c r="A639" s="126"/>
      <c r="B639" s="126"/>
      <c r="C639" s="126"/>
    </row>
    <row r="640" spans="1:4" ht="16.5">
      <c r="A640" s="126"/>
      <c r="B640" s="126"/>
      <c r="C640" s="126"/>
    </row>
    <row r="641" spans="1:3" ht="16.5">
      <c r="A641" s="126"/>
      <c r="B641" s="126"/>
      <c r="C641" s="126"/>
    </row>
    <row r="642" spans="1:3" ht="16.5">
      <c r="A642" s="126"/>
      <c r="B642" s="126"/>
      <c r="C642" s="126"/>
    </row>
    <row r="643" spans="1:3" ht="16.5">
      <c r="A643" s="126"/>
      <c r="B643" s="126"/>
      <c r="C643" s="126"/>
    </row>
    <row r="644" spans="1:3" ht="16.5">
      <c r="A644" s="126"/>
      <c r="B644" s="126"/>
      <c r="C644" s="126"/>
    </row>
    <row r="645" spans="1:3" ht="16.5">
      <c r="A645" s="126"/>
      <c r="B645" s="126"/>
      <c r="C645" s="126"/>
    </row>
    <row r="646" spans="1:3" ht="16.5">
      <c r="A646" s="126"/>
      <c r="B646" s="126"/>
      <c r="C646" s="126"/>
    </row>
    <row r="647" spans="1:3" ht="16.5">
      <c r="A647" s="126"/>
      <c r="B647" s="126"/>
      <c r="C647" s="126"/>
    </row>
    <row r="648" spans="1:3" ht="16.5">
      <c r="A648" s="126"/>
      <c r="B648" s="126"/>
      <c r="C648" s="126"/>
    </row>
    <row r="649" spans="1:3" ht="16.5">
      <c r="A649" s="126"/>
      <c r="B649" s="126"/>
      <c r="C649" s="126"/>
    </row>
    <row r="650" spans="1:3" ht="16.5">
      <c r="A650" s="126"/>
      <c r="B650" s="126"/>
      <c r="C650" s="126"/>
    </row>
    <row r="651" spans="1:3" ht="16.5">
      <c r="A651" s="126"/>
      <c r="B651" s="126"/>
      <c r="C651" s="126"/>
    </row>
    <row r="652" spans="1:3" ht="16.5">
      <c r="A652" s="126"/>
      <c r="B652" s="126"/>
      <c r="C652" s="126"/>
    </row>
    <row r="653" spans="1:3" ht="16.5">
      <c r="A653" s="126"/>
      <c r="B653" s="126"/>
      <c r="C653" s="126"/>
    </row>
    <row r="654" spans="1:3" ht="16.5">
      <c r="A654" s="126"/>
      <c r="B654" s="126"/>
      <c r="C654" s="126"/>
    </row>
    <row r="655" spans="1:3" ht="16.5">
      <c r="A655" s="126"/>
      <c r="B655" s="126"/>
      <c r="C655" s="126"/>
    </row>
    <row r="656" spans="1:3" ht="16.5">
      <c r="A656" s="126"/>
      <c r="B656" s="126"/>
      <c r="C656" s="126"/>
    </row>
    <row r="657" spans="1:3" ht="16.5">
      <c r="A657" s="126"/>
      <c r="B657" s="126"/>
      <c r="C657" s="126"/>
    </row>
    <row r="658" spans="1:3" ht="16.5">
      <c r="A658" s="126"/>
      <c r="B658" s="126"/>
      <c r="C658" s="126"/>
    </row>
    <row r="659" spans="1:3" ht="16.5">
      <c r="A659" s="126"/>
      <c r="B659" s="126"/>
      <c r="C659" s="126"/>
    </row>
    <row r="660" spans="1:3" ht="16.5">
      <c r="A660" s="126"/>
      <c r="B660" s="126"/>
      <c r="C660" s="126"/>
    </row>
    <row r="661" spans="1:3" ht="16.5">
      <c r="A661" s="126"/>
      <c r="B661" s="126"/>
      <c r="C661" s="126"/>
    </row>
    <row r="662" spans="1:3" ht="16.5">
      <c r="A662" s="126"/>
      <c r="B662" s="126"/>
      <c r="C662" s="126"/>
    </row>
    <row r="663" spans="1:3" ht="16.5">
      <c r="A663" s="126"/>
      <c r="B663" s="126"/>
      <c r="C663" s="126"/>
    </row>
    <row r="664" spans="1:3" ht="16.5">
      <c r="A664" s="126"/>
      <c r="B664" s="126"/>
      <c r="C664" s="126"/>
    </row>
    <row r="665" spans="1:3" ht="16.5">
      <c r="A665" s="126"/>
      <c r="B665" s="126"/>
      <c r="C665" s="126"/>
    </row>
    <row r="666" spans="1:3" ht="16.5">
      <c r="A666" s="126"/>
      <c r="B666" s="126"/>
      <c r="C666" s="126"/>
    </row>
    <row r="667" spans="1:3" ht="16.5">
      <c r="A667" s="126"/>
      <c r="B667" s="126"/>
      <c r="C667" s="126"/>
    </row>
    <row r="668" spans="1:3" ht="16.5">
      <c r="A668" s="126"/>
      <c r="B668" s="126"/>
      <c r="C668" s="126"/>
    </row>
    <row r="669" spans="1:3" ht="16.5">
      <c r="A669" s="126"/>
      <c r="B669" s="126"/>
      <c r="C669" s="126"/>
    </row>
    <row r="670" spans="1:3" ht="16.5">
      <c r="A670" s="126"/>
      <c r="B670" s="126"/>
      <c r="C670" s="126"/>
    </row>
    <row r="671" spans="1:3" ht="16.5">
      <c r="A671" s="126"/>
      <c r="B671" s="126"/>
      <c r="C671" s="126"/>
    </row>
    <row r="672" spans="1:3" ht="16.5">
      <c r="A672" s="126"/>
      <c r="B672" s="126"/>
      <c r="C672" s="126"/>
    </row>
    <row r="673" spans="1:3" ht="16.5">
      <c r="A673" s="126"/>
      <c r="B673" s="126"/>
      <c r="C673" s="126"/>
    </row>
    <row r="674" spans="1:3" ht="16.5">
      <c r="A674" s="126"/>
      <c r="B674" s="126"/>
      <c r="C674" s="126"/>
    </row>
    <row r="675" spans="1:3" ht="16.5">
      <c r="A675" s="126"/>
      <c r="B675" s="126"/>
      <c r="C675" s="126"/>
    </row>
    <row r="676" spans="1:3" ht="16.5">
      <c r="A676" s="126"/>
      <c r="B676" s="126"/>
      <c r="C676" s="126"/>
    </row>
    <row r="677" spans="1:3" ht="16.5">
      <c r="A677" s="126"/>
      <c r="B677" s="126"/>
      <c r="C677" s="126"/>
    </row>
    <row r="678" spans="1:3" ht="16.5">
      <c r="A678" s="126"/>
      <c r="B678" s="126"/>
      <c r="C678" s="126"/>
    </row>
    <row r="679" spans="1:3" ht="16.5">
      <c r="A679" s="126"/>
      <c r="B679" s="126"/>
      <c r="C679" s="126"/>
    </row>
    <row r="680" spans="1:3" ht="16.5">
      <c r="A680" s="126"/>
      <c r="B680" s="126"/>
      <c r="C680" s="126"/>
    </row>
    <row r="681" spans="1:3" ht="16.5">
      <c r="A681" s="126"/>
      <c r="B681" s="126"/>
      <c r="C681" s="126"/>
    </row>
    <row r="682" spans="1:3" ht="16.5">
      <c r="A682" s="126"/>
      <c r="B682" s="126"/>
      <c r="C682" s="126"/>
    </row>
    <row r="683" spans="1:3" ht="16.5">
      <c r="A683" s="126"/>
      <c r="B683" s="126"/>
      <c r="C683" s="126"/>
    </row>
    <row r="684" spans="1:3" ht="16.5">
      <c r="A684" s="126"/>
      <c r="B684" s="126"/>
      <c r="C684" s="126"/>
    </row>
    <row r="685" spans="1:3" ht="16.5">
      <c r="A685" s="126"/>
      <c r="B685" s="126"/>
      <c r="C685" s="126"/>
    </row>
    <row r="686" spans="1:3" ht="16.5">
      <c r="A686" s="126"/>
      <c r="B686" s="126"/>
      <c r="C686" s="126"/>
    </row>
    <row r="687" spans="1:3" ht="16.5">
      <c r="A687" s="126"/>
      <c r="B687" s="126"/>
      <c r="C687" s="126"/>
    </row>
  </sheetData>
  <mergeCells count="3">
    <mergeCell ref="B174:B175"/>
    <mergeCell ref="C174:C175"/>
    <mergeCell ref="B4:C4"/>
  </mergeCells>
  <pageMargins left="0.31496062992125984" right="0.11811023622047245" top="0.15748031496062992" bottom="0.55118110236220474" header="0.31496062992125984" footer="0.31496062992125984"/>
  <pageSetup paperSize="14" scale="85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29 DAN 18 TOK</vt:lpstr>
      <vt:lpstr>2019 DAN 18</vt:lpstr>
      <vt:lpstr>penetapan 2019</vt:lpstr>
      <vt:lpstr>REALISASI REKO</vt:lpstr>
      <vt:lpstr>rekap REALISASI REKO </vt:lpstr>
      <vt:lpstr>rekapan 2019 tok</vt:lpstr>
      <vt:lpstr>'2019 DAN 18'!Print_Titles</vt:lpstr>
      <vt:lpstr>'29 DAN 18 TOK'!Print_Titles</vt:lpstr>
      <vt:lpstr>'REALISASI REKO'!Print_Titles</vt:lpstr>
      <vt:lpstr>'rekap REALISASI REKO '!Print_Titles</vt:lpstr>
      <vt:lpstr>'rekapan 2019 tok'!Print_Titles</vt:lpstr>
    </vt:vector>
  </TitlesOfParts>
  <Company>4075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MUKIDI ENDANG</dc:creator>
  <cp:lastModifiedBy>Dream</cp:lastModifiedBy>
  <cp:lastPrinted>2018-11-26T07:10:58Z</cp:lastPrinted>
  <dcterms:created xsi:type="dcterms:W3CDTF">2005-06-09T12:03:15Z</dcterms:created>
  <dcterms:modified xsi:type="dcterms:W3CDTF">2019-01-09T01:38:18Z</dcterms:modified>
</cp:coreProperties>
</file>